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autoCompressPictures="0" defaultThemeVersion="124226"/>
  <bookViews>
    <workbookView xWindow="552" yWindow="552" windowWidth="21840" windowHeight="13176" activeTab="1"/>
  </bookViews>
  <sheets>
    <sheet name="Info" sheetId="7" r:id="rId1"/>
    <sheet name="Data Entry" sheetId="4" r:id="rId2"/>
    <sheet name="Results" sheetId="5" r:id="rId3"/>
    <sheet name="Calcs" sheetId="1" r:id="rId4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4" l="1"/>
  <c r="I16" i="1"/>
  <c r="G22" i="1" l="1"/>
  <c r="G33" i="1"/>
  <c r="G16" i="1"/>
  <c r="G17" i="1"/>
  <c r="G18" i="1"/>
  <c r="G19" i="1"/>
  <c r="G20" i="1"/>
  <c r="G21" i="1"/>
  <c r="G23" i="1"/>
  <c r="G24" i="1"/>
  <c r="G25" i="1"/>
  <c r="G26" i="1"/>
  <c r="G27" i="1"/>
  <c r="G28" i="1"/>
  <c r="G29" i="1"/>
  <c r="G30" i="1"/>
  <c r="G31" i="1"/>
  <c r="F22" i="1"/>
  <c r="F23" i="1"/>
  <c r="F24" i="1"/>
  <c r="F25" i="1"/>
  <c r="F26" i="1"/>
  <c r="F27" i="1"/>
  <c r="F28" i="1"/>
  <c r="F29" i="1"/>
  <c r="F19" i="1"/>
  <c r="F20" i="1"/>
  <c r="F21" i="1"/>
  <c r="F17" i="1"/>
  <c r="F18" i="1"/>
  <c r="F16" i="1"/>
  <c r="AA16" i="1"/>
  <c r="AA17" i="1"/>
  <c r="AB17" i="1" s="1"/>
  <c r="AA18" i="1"/>
  <c r="AB18" i="1" s="1"/>
  <c r="AA19" i="1"/>
  <c r="AA20" i="1"/>
  <c r="AB20" i="1" s="1"/>
  <c r="AA21" i="1"/>
  <c r="AB21" i="1" s="1"/>
  <c r="AA22" i="1"/>
  <c r="AB22" i="1" s="1"/>
  <c r="AA23" i="1"/>
  <c r="AB23" i="1" s="1"/>
  <c r="AA24" i="1"/>
  <c r="AB24" i="1" s="1"/>
  <c r="AA25" i="1"/>
  <c r="AB25" i="1" s="1"/>
  <c r="AA26" i="1"/>
  <c r="AB26" i="1" s="1"/>
  <c r="AA27" i="1"/>
  <c r="AB27" i="1" s="1"/>
  <c r="AA28" i="1"/>
  <c r="AB28" i="1" s="1"/>
  <c r="AA29" i="1"/>
  <c r="AB29" i="1" s="1"/>
  <c r="F30" i="1"/>
  <c r="AA30" i="1"/>
  <c r="F31" i="1"/>
  <c r="AA31" i="1"/>
  <c r="AB31" i="1" s="1"/>
  <c r="AB30" i="1"/>
  <c r="G4" i="1"/>
  <c r="G5" i="1"/>
  <c r="G6" i="1"/>
  <c r="G4" i="5"/>
  <c r="G5" i="5"/>
  <c r="G6" i="5"/>
  <c r="B33" i="5"/>
  <c r="E31" i="5"/>
  <c r="B31" i="5"/>
  <c r="E30" i="5"/>
  <c r="B30" i="5"/>
  <c r="E29" i="5"/>
  <c r="B29" i="5"/>
  <c r="E28" i="5"/>
  <c r="B28" i="5"/>
  <c r="E27" i="5"/>
  <c r="B27" i="5"/>
  <c r="E26" i="5"/>
  <c r="B26" i="5"/>
  <c r="E25" i="5"/>
  <c r="B25" i="5"/>
  <c r="E24" i="5"/>
  <c r="B24" i="5"/>
  <c r="E23" i="5"/>
  <c r="B23" i="5"/>
  <c r="E22" i="5"/>
  <c r="B22" i="5"/>
  <c r="E21" i="5"/>
  <c r="B21" i="5"/>
  <c r="E20" i="5"/>
  <c r="B20" i="5"/>
  <c r="E19" i="5"/>
  <c r="B19" i="5"/>
  <c r="E18" i="5"/>
  <c r="B18" i="5"/>
  <c r="E17" i="5"/>
  <c r="B17" i="5"/>
  <c r="E16" i="5"/>
  <c r="B16" i="5"/>
  <c r="C55" i="5"/>
  <c r="B55" i="5"/>
  <c r="C43" i="5"/>
  <c r="B43" i="5"/>
  <c r="C53" i="1"/>
  <c r="B53" i="1"/>
  <c r="C41" i="1"/>
  <c r="B41" i="1"/>
  <c r="D53" i="1"/>
  <c r="E53" i="1" s="1"/>
  <c r="F55" i="5" s="1"/>
  <c r="E55" i="5"/>
  <c r="G37" i="4"/>
  <c r="G34" i="1" l="1"/>
  <c r="G35" i="1" s="1"/>
  <c r="F53" i="1"/>
  <c r="G55" i="5" s="1"/>
  <c r="E41" i="1"/>
  <c r="D41" i="1"/>
  <c r="H17" i="1"/>
  <c r="B46" i="1"/>
  <c r="B48" i="5" s="1"/>
  <c r="F34" i="1"/>
  <c r="E37" i="4" s="1"/>
  <c r="E33" i="5" s="1"/>
  <c r="AA33" i="1"/>
  <c r="AB16" i="1"/>
  <c r="H27" i="1"/>
  <c r="H31" i="1"/>
  <c r="AA35" i="1"/>
  <c r="AB19" i="1"/>
  <c r="I31" i="1" l="1"/>
  <c r="U31" i="1"/>
  <c r="C31" i="5"/>
  <c r="I27" i="1"/>
  <c r="U27" i="1"/>
  <c r="C27" i="5"/>
  <c r="U17" i="1"/>
  <c r="C17" i="5"/>
  <c r="I17" i="1"/>
  <c r="H16" i="1"/>
  <c r="H22" i="1"/>
  <c r="H19" i="1"/>
  <c r="H18" i="1"/>
  <c r="H30" i="1"/>
  <c r="H29" i="1"/>
  <c r="H23" i="1"/>
  <c r="F43" i="5"/>
  <c r="E46" i="1"/>
  <c r="F48" i="5" s="1"/>
  <c r="D46" i="1"/>
  <c r="E48" i="5" s="1"/>
  <c r="E43" i="5"/>
  <c r="H21" i="1"/>
  <c r="H25" i="1"/>
  <c r="H24" i="1"/>
  <c r="H20" i="1"/>
  <c r="H28" i="1"/>
  <c r="H26" i="1"/>
  <c r="U18" i="1" l="1"/>
  <c r="I18" i="1"/>
  <c r="C18" i="5"/>
  <c r="I19" i="1"/>
  <c r="U19" i="1"/>
  <c r="N41" i="1"/>
  <c r="W25" i="5" s="1"/>
  <c r="M41" i="1"/>
  <c r="V25" i="5" s="1"/>
  <c r="I41" i="1"/>
  <c r="C19" i="5"/>
  <c r="U28" i="1"/>
  <c r="C28" i="5"/>
  <c r="I28" i="1"/>
  <c r="I25" i="1"/>
  <c r="U25" i="1"/>
  <c r="C25" i="5"/>
  <c r="I29" i="1"/>
  <c r="U29" i="1"/>
  <c r="C29" i="5"/>
  <c r="U22" i="1"/>
  <c r="I22" i="1"/>
  <c r="C22" i="5"/>
  <c r="X59" i="1"/>
  <c r="W27" i="1"/>
  <c r="V27" i="1"/>
  <c r="X63" i="1"/>
  <c r="V31" i="1"/>
  <c r="W31" i="1"/>
  <c r="U24" i="1"/>
  <c r="I24" i="1"/>
  <c r="C24" i="5"/>
  <c r="C21" i="5"/>
  <c r="I21" i="1"/>
  <c r="U21" i="1"/>
  <c r="U26" i="1"/>
  <c r="I26" i="1"/>
  <c r="C26" i="5"/>
  <c r="I23" i="1"/>
  <c r="U23" i="1"/>
  <c r="C23" i="5"/>
  <c r="J17" i="1"/>
  <c r="AC17" i="1"/>
  <c r="K17" i="1"/>
  <c r="O17" i="1"/>
  <c r="P17" i="1"/>
  <c r="L17" i="1"/>
  <c r="G17" i="5"/>
  <c r="AD17" i="1"/>
  <c r="I20" i="1"/>
  <c r="U20" i="1"/>
  <c r="C20" i="5"/>
  <c r="U30" i="1"/>
  <c r="C30" i="5"/>
  <c r="I30" i="1"/>
  <c r="U16" i="1"/>
  <c r="I63" i="1"/>
  <c r="H34" i="1"/>
  <c r="C16" i="5"/>
  <c r="X49" i="1"/>
  <c r="V17" i="1"/>
  <c r="H17" i="5" s="1"/>
  <c r="W17" i="1"/>
  <c r="AC27" i="1"/>
  <c r="K27" i="1"/>
  <c r="AD27" i="1"/>
  <c r="G27" i="5"/>
  <c r="L27" i="1"/>
  <c r="J27" i="1"/>
  <c r="O27" i="1"/>
  <c r="P27" i="1"/>
  <c r="AC31" i="1"/>
  <c r="D31" i="1"/>
  <c r="J31" i="1" s="1"/>
  <c r="AD31" i="1"/>
  <c r="G31" i="5"/>
  <c r="P31" i="1"/>
  <c r="U61" i="5" l="1"/>
  <c r="U62" i="5"/>
  <c r="J63" i="1"/>
  <c r="K63" i="1" s="1"/>
  <c r="V61" i="5" s="1"/>
  <c r="AD30" i="1"/>
  <c r="AC30" i="1"/>
  <c r="P30" i="1"/>
  <c r="K30" i="1"/>
  <c r="G30" i="5"/>
  <c r="O30" i="1"/>
  <c r="L30" i="1"/>
  <c r="J30" i="1"/>
  <c r="X53" i="1"/>
  <c r="V21" i="1"/>
  <c r="H21" i="5" s="1"/>
  <c r="W21" i="1"/>
  <c r="V22" i="1"/>
  <c r="H22" i="5" s="1"/>
  <c r="X54" i="1"/>
  <c r="W22" i="1"/>
  <c r="L28" i="1"/>
  <c r="O28" i="1"/>
  <c r="J28" i="1"/>
  <c r="AC28" i="1"/>
  <c r="K28" i="1"/>
  <c r="AD28" i="1"/>
  <c r="G28" i="5"/>
  <c r="P28" i="1"/>
  <c r="J41" i="1"/>
  <c r="U25" i="5"/>
  <c r="L41" i="1"/>
  <c r="W24" i="5" s="1"/>
  <c r="U24" i="5"/>
  <c r="K41" i="1"/>
  <c r="V24" i="5" s="1"/>
  <c r="R31" i="1"/>
  <c r="T31" i="1" s="1"/>
  <c r="S31" i="1"/>
  <c r="H31" i="5" s="1"/>
  <c r="Q31" i="1"/>
  <c r="X52" i="1"/>
  <c r="V20" i="1"/>
  <c r="H20" i="5" s="1"/>
  <c r="W20" i="1"/>
  <c r="X55" i="1"/>
  <c r="W23" i="1"/>
  <c r="V23" i="1"/>
  <c r="H23" i="5" s="1"/>
  <c r="R27" i="1"/>
  <c r="S27" i="1" s="1"/>
  <c r="H27" i="5" s="1"/>
  <c r="Q27" i="1"/>
  <c r="T27" i="1"/>
  <c r="I17" i="5"/>
  <c r="X48" i="1"/>
  <c r="U34" i="1"/>
  <c r="W16" i="1"/>
  <c r="V16" i="1"/>
  <c r="H16" i="5" s="1"/>
  <c r="V30" i="1"/>
  <c r="X62" i="1"/>
  <c r="W30" i="1"/>
  <c r="O20" i="1"/>
  <c r="J20" i="1"/>
  <c r="K20" i="1"/>
  <c r="AC20" i="1"/>
  <c r="AD20" i="1"/>
  <c r="G20" i="5"/>
  <c r="P20" i="1"/>
  <c r="L20" i="1"/>
  <c r="R17" i="1"/>
  <c r="S17" i="1"/>
  <c r="Q17" i="1"/>
  <c r="X17" i="1" s="1"/>
  <c r="T17" i="1"/>
  <c r="AC23" i="1"/>
  <c r="K23" i="1"/>
  <c r="O23" i="1"/>
  <c r="AD23" i="1"/>
  <c r="J23" i="1"/>
  <c r="L23" i="1"/>
  <c r="G23" i="5"/>
  <c r="P23" i="1"/>
  <c r="W26" i="1"/>
  <c r="X58" i="1"/>
  <c r="V26" i="1"/>
  <c r="V24" i="1"/>
  <c r="H24" i="5" s="1"/>
  <c r="X56" i="1"/>
  <c r="W24" i="1"/>
  <c r="X51" i="1"/>
  <c r="V19" i="1"/>
  <c r="H19" i="5" s="1"/>
  <c r="W19" i="1"/>
  <c r="J18" i="1"/>
  <c r="I49" i="1" s="1"/>
  <c r="AC18" i="1"/>
  <c r="L18" i="1"/>
  <c r="O18" i="1"/>
  <c r="K18" i="1"/>
  <c r="J49" i="1" s="1"/>
  <c r="G18" i="5"/>
  <c r="P18" i="1"/>
  <c r="AD18" i="1"/>
  <c r="L31" i="1"/>
  <c r="O31" i="1"/>
  <c r="K29" i="1"/>
  <c r="AC29" i="1"/>
  <c r="J29" i="1"/>
  <c r="L29" i="1"/>
  <c r="O29" i="1"/>
  <c r="P29" i="1"/>
  <c r="AD29" i="1"/>
  <c r="G29" i="5"/>
  <c r="K25" i="1"/>
  <c r="AC25" i="1"/>
  <c r="L25" i="1"/>
  <c r="O25" i="1"/>
  <c r="G25" i="5"/>
  <c r="P25" i="1"/>
  <c r="J25" i="1"/>
  <c r="AD25" i="1"/>
  <c r="V28" i="1"/>
  <c r="X60" i="1"/>
  <c r="W28" i="1"/>
  <c r="M27" i="1"/>
  <c r="N27" i="1"/>
  <c r="AC16" i="1"/>
  <c r="L16" i="1"/>
  <c r="G16" i="5"/>
  <c r="J16" i="1"/>
  <c r="K16" i="1"/>
  <c r="P16" i="1"/>
  <c r="O16" i="1"/>
  <c r="AD16" i="1"/>
  <c r="M17" i="1"/>
  <c r="N17" i="1"/>
  <c r="J26" i="1"/>
  <c r="L26" i="1"/>
  <c r="O26" i="1"/>
  <c r="AC26" i="1"/>
  <c r="P26" i="1"/>
  <c r="G26" i="5"/>
  <c r="K26" i="1"/>
  <c r="AD26" i="1"/>
  <c r="L21" i="1"/>
  <c r="AC21" i="1"/>
  <c r="O21" i="1"/>
  <c r="J21" i="1"/>
  <c r="G21" i="5"/>
  <c r="P21" i="1"/>
  <c r="K21" i="1"/>
  <c r="AD21" i="1"/>
  <c r="K31" i="1"/>
  <c r="M40" i="1"/>
  <c r="V15" i="5" s="1"/>
  <c r="C33" i="5"/>
  <c r="N40" i="1"/>
  <c r="W15" i="5" s="1"/>
  <c r="I40" i="1"/>
  <c r="J57" i="1"/>
  <c r="L24" i="1"/>
  <c r="O24" i="1"/>
  <c r="J24" i="1"/>
  <c r="AC24" i="1"/>
  <c r="AD24" i="1"/>
  <c r="K24" i="1"/>
  <c r="G24" i="5"/>
  <c r="P24" i="1"/>
  <c r="J22" i="1"/>
  <c r="I48" i="1" s="1"/>
  <c r="L22" i="1"/>
  <c r="O22" i="1"/>
  <c r="AC22" i="1"/>
  <c r="K22" i="1"/>
  <c r="J48" i="1" s="1"/>
  <c r="P22" i="1"/>
  <c r="G22" i="5"/>
  <c r="AD22" i="1"/>
  <c r="W29" i="1"/>
  <c r="X61" i="1"/>
  <c r="V29" i="1"/>
  <c r="V25" i="1"/>
  <c r="H25" i="5" s="1"/>
  <c r="W25" i="1"/>
  <c r="X57" i="1"/>
  <c r="AC19" i="1"/>
  <c r="L19" i="1"/>
  <c r="O19" i="1"/>
  <c r="J55" i="1" s="1"/>
  <c r="J19" i="1"/>
  <c r="G19" i="5"/>
  <c r="K19" i="1"/>
  <c r="P19" i="1"/>
  <c r="AD19" i="1"/>
  <c r="X50" i="1"/>
  <c r="Z51" i="1" s="1"/>
  <c r="W18" i="1"/>
  <c r="V18" i="1"/>
  <c r="H18" i="5" s="1"/>
  <c r="N49" i="1" l="1"/>
  <c r="T49" i="1" s="1"/>
  <c r="W54" i="5" s="1"/>
  <c r="L49" i="1"/>
  <c r="R49" i="1" s="1"/>
  <c r="W53" i="5" s="1"/>
  <c r="P49" i="1"/>
  <c r="K49" i="1"/>
  <c r="Q49" i="1" s="1"/>
  <c r="V53" i="5" s="1"/>
  <c r="I31" i="5"/>
  <c r="Y31" i="1"/>
  <c r="AA51" i="1"/>
  <c r="M49" i="1" s="1"/>
  <c r="S49" i="1" s="1"/>
  <c r="V54" i="5" s="1"/>
  <c r="AB51" i="1"/>
  <c r="R24" i="1"/>
  <c r="S24" i="1" s="1"/>
  <c r="Q24" i="1"/>
  <c r="X24" i="1" s="1"/>
  <c r="I19" i="5"/>
  <c r="Z49" i="1"/>
  <c r="Z48" i="1"/>
  <c r="Z50" i="1"/>
  <c r="X27" i="1"/>
  <c r="I23" i="5"/>
  <c r="R21" i="1"/>
  <c r="T21" i="1" s="1"/>
  <c r="Q21" i="1"/>
  <c r="X21" i="1" s="1"/>
  <c r="M26" i="1"/>
  <c r="N26" i="1"/>
  <c r="AD33" i="1"/>
  <c r="Y40" i="1" s="1"/>
  <c r="AA40" i="1" s="1"/>
  <c r="R18" i="1"/>
  <c r="S18" i="1" s="1"/>
  <c r="T18" i="1"/>
  <c r="Q18" i="1"/>
  <c r="X18" i="1" s="1"/>
  <c r="M18" i="1"/>
  <c r="N18" i="1"/>
  <c r="R23" i="1"/>
  <c r="Q23" i="1"/>
  <c r="X23" i="1" s="1"/>
  <c r="S23" i="1"/>
  <c r="T23" i="1"/>
  <c r="Y17" i="1"/>
  <c r="Z53" i="1"/>
  <c r="N28" i="1"/>
  <c r="M28" i="1"/>
  <c r="I21" i="5"/>
  <c r="Y21" i="1"/>
  <c r="L63" i="1"/>
  <c r="W61" i="5" s="1"/>
  <c r="R19" i="1"/>
  <c r="S19" i="1" s="1"/>
  <c r="T19" i="1"/>
  <c r="Q19" i="1"/>
  <c r="X19" i="1" s="1"/>
  <c r="I25" i="5"/>
  <c r="P48" i="1"/>
  <c r="L48" i="1"/>
  <c r="R48" i="1" s="1"/>
  <c r="W45" i="5" s="1"/>
  <c r="K48" i="1"/>
  <c r="Q48" i="1" s="1"/>
  <c r="V45" i="5" s="1"/>
  <c r="N24" i="1"/>
  <c r="M24" i="1"/>
  <c r="R16" i="1"/>
  <c r="Q16" i="1"/>
  <c r="X16" i="1" s="1"/>
  <c r="S16" i="1"/>
  <c r="T16" i="1"/>
  <c r="M16" i="1"/>
  <c r="N16" i="1"/>
  <c r="N25" i="1"/>
  <c r="M25" i="1"/>
  <c r="N31" i="1"/>
  <c r="M31" i="1"/>
  <c r="I24" i="5"/>
  <c r="Y24" i="1"/>
  <c r="M23" i="1"/>
  <c r="N23" i="1"/>
  <c r="R20" i="1"/>
  <c r="T20" i="1" s="1"/>
  <c r="S20" i="1"/>
  <c r="Q20" i="1"/>
  <c r="X20" i="1" s="1"/>
  <c r="I27" i="5"/>
  <c r="Y27" i="1"/>
  <c r="Z57" i="1"/>
  <c r="I18" i="5"/>
  <c r="J47" i="1"/>
  <c r="M19" i="1"/>
  <c r="N19" i="1"/>
  <c r="W14" i="5"/>
  <c r="I57" i="1"/>
  <c r="AC33" i="1"/>
  <c r="X40" i="1" s="1"/>
  <c r="R25" i="1"/>
  <c r="S25" i="1"/>
  <c r="Q25" i="1"/>
  <c r="X25" i="1" s="1"/>
  <c r="T25" i="1"/>
  <c r="R29" i="1"/>
  <c r="S29" i="1"/>
  <c r="H29" i="5" s="1"/>
  <c r="Q29" i="1"/>
  <c r="T29" i="1"/>
  <c r="AC35" i="1"/>
  <c r="X41" i="1" s="1"/>
  <c r="J56" i="1"/>
  <c r="J40" i="1"/>
  <c r="U15" i="5"/>
  <c r="U14" i="5"/>
  <c r="K40" i="1"/>
  <c r="V14" i="5" s="1"/>
  <c r="L40" i="1"/>
  <c r="AD35" i="1"/>
  <c r="Y41" i="1" s="1"/>
  <c r="AA41" i="1" s="1"/>
  <c r="I47" i="1"/>
  <c r="R22" i="1"/>
  <c r="S22" i="1" s="1"/>
  <c r="Q22" i="1"/>
  <c r="X22" i="1" s="1"/>
  <c r="M22" i="1"/>
  <c r="I56" i="1" s="1"/>
  <c r="N22" i="1"/>
  <c r="N21" i="1"/>
  <c r="M21" i="1"/>
  <c r="R26" i="1"/>
  <c r="T26" i="1" s="1"/>
  <c r="Q26" i="1"/>
  <c r="S26" i="1"/>
  <c r="H26" i="5" s="1"/>
  <c r="N29" i="1"/>
  <c r="M29" i="1"/>
  <c r="Z56" i="1"/>
  <c r="Z55" i="1"/>
  <c r="Z52" i="1"/>
  <c r="Z54" i="1"/>
  <c r="M20" i="1"/>
  <c r="N20" i="1"/>
  <c r="I16" i="5"/>
  <c r="I20" i="5"/>
  <c r="X31" i="1"/>
  <c r="R28" i="1"/>
  <c r="T28" i="1"/>
  <c r="Q28" i="1"/>
  <c r="S28" i="1"/>
  <c r="H28" i="5" s="1"/>
  <c r="I22" i="5"/>
  <c r="Y22" i="1"/>
  <c r="N30" i="1"/>
  <c r="M30" i="1"/>
  <c r="R30" i="1"/>
  <c r="Q30" i="1"/>
  <c r="X30" i="1" s="1"/>
  <c r="T30" i="1"/>
  <c r="S30" i="1"/>
  <c r="H30" i="5" s="1"/>
  <c r="I26" i="5" l="1"/>
  <c r="Y26" i="1"/>
  <c r="AA56" i="1"/>
  <c r="AB56" i="1"/>
  <c r="I29" i="5"/>
  <c r="Y29" i="1"/>
  <c r="Z40" i="1"/>
  <c r="AA53" i="1"/>
  <c r="AB53" i="1"/>
  <c r="AB49" i="1"/>
  <c r="N63" i="1" s="1"/>
  <c r="W62" i="5" s="1"/>
  <c r="AA49" i="1"/>
  <c r="M63" i="1" s="1"/>
  <c r="V62" i="5" s="1"/>
  <c r="T24" i="1"/>
  <c r="U54" i="5"/>
  <c r="U53" i="5"/>
  <c r="Y16" i="1"/>
  <c r="AB54" i="1"/>
  <c r="AE41" i="1" s="1"/>
  <c r="W30" i="5" s="1"/>
  <c r="AA54" i="1"/>
  <c r="X26" i="1"/>
  <c r="T22" i="1"/>
  <c r="X29" i="1"/>
  <c r="N57" i="1"/>
  <c r="W57" i="5" s="1"/>
  <c r="M57" i="1"/>
  <c r="V57" i="5" s="1"/>
  <c r="U56" i="5"/>
  <c r="K57" i="1"/>
  <c r="V56" i="5" s="1"/>
  <c r="L57" i="1"/>
  <c r="W56" i="5" s="1"/>
  <c r="U57" i="5"/>
  <c r="I55" i="1"/>
  <c r="AA57" i="1"/>
  <c r="M48" i="1" s="1"/>
  <c r="S48" i="1" s="1"/>
  <c r="V46" i="5" s="1"/>
  <c r="AB57" i="1"/>
  <c r="N48" i="1" s="1"/>
  <c r="T48" i="1" s="1"/>
  <c r="W46" i="5" s="1"/>
  <c r="Y25" i="1"/>
  <c r="S21" i="1"/>
  <c r="Y19" i="1"/>
  <c r="I28" i="5"/>
  <c r="Y28" i="1"/>
  <c r="AB52" i="1"/>
  <c r="AA52" i="1"/>
  <c r="K56" i="1"/>
  <c r="V48" i="5" s="1"/>
  <c r="U49" i="5"/>
  <c r="N56" i="1"/>
  <c r="W49" i="5" s="1"/>
  <c r="U48" i="5"/>
  <c r="L56" i="1"/>
  <c r="W48" i="5" s="1"/>
  <c r="AA50" i="1"/>
  <c r="AB50" i="1"/>
  <c r="I30" i="5"/>
  <c r="Y30" i="1"/>
  <c r="X28" i="1"/>
  <c r="Y20" i="1"/>
  <c r="AB55" i="1"/>
  <c r="AA55" i="1"/>
  <c r="L47" i="1"/>
  <c r="R47" i="1" s="1"/>
  <c r="W37" i="5" s="1"/>
  <c r="M47" i="1"/>
  <c r="S47" i="1" s="1"/>
  <c r="V38" i="5" s="1"/>
  <c r="P47" i="1"/>
  <c r="K47" i="1"/>
  <c r="Q47" i="1" s="1"/>
  <c r="V37" i="5" s="1"/>
  <c r="AD41" i="1"/>
  <c r="V30" i="5" s="1"/>
  <c r="Z41" i="1"/>
  <c r="Y18" i="1"/>
  <c r="U45" i="5"/>
  <c r="U46" i="5"/>
  <c r="Y23" i="1"/>
  <c r="AA48" i="1"/>
  <c r="AD40" i="1" s="1"/>
  <c r="V20" i="5" s="1"/>
  <c r="AB48" i="1"/>
  <c r="AE40" i="1" s="1"/>
  <c r="W20" i="5" s="1"/>
  <c r="K55" i="1" l="1"/>
  <c r="V40" i="5" s="1"/>
  <c r="U41" i="5"/>
  <c r="M55" i="1"/>
  <c r="V41" i="5" s="1"/>
  <c r="U40" i="5"/>
  <c r="N55" i="1"/>
  <c r="W41" i="5" s="1"/>
  <c r="L55" i="1"/>
  <c r="W40" i="5" s="1"/>
  <c r="AB41" i="1"/>
  <c r="V29" i="5" s="1"/>
  <c r="U29" i="5"/>
  <c r="AC41" i="1"/>
  <c r="W29" i="5" s="1"/>
  <c r="U30" i="5"/>
  <c r="N47" i="1"/>
  <c r="T47" i="1" s="1"/>
  <c r="W38" i="5" s="1"/>
  <c r="U37" i="5"/>
  <c r="U38" i="5"/>
  <c r="M56" i="1"/>
  <c r="V49" i="5" s="1"/>
  <c r="U19" i="5"/>
  <c r="U20" i="5"/>
  <c r="AC40" i="1"/>
  <c r="W19" i="5" s="1"/>
  <c r="AB40" i="1"/>
  <c r="V19" i="5" s="1"/>
</calcChain>
</file>

<file path=xl/comments1.xml><?xml version="1.0" encoding="utf-8"?>
<comments xmlns="http://schemas.openxmlformats.org/spreadsheetml/2006/main">
  <authors>
    <author>Author</author>
  </authors>
  <commentList>
    <comment ref="G14" authorId="0">
      <text>
        <r>
          <rPr>
            <sz val="9"/>
            <color indexed="81"/>
            <rFont val="Calibri"/>
            <family val="2"/>
          </rPr>
          <t xml:space="preserve">The World Health Organization's new world standard population (expressed as a % for the years 2000-2025) as described in Discussion Paper 31: Age Standardization of Rates: A New WHO Standard.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U12" authorId="0">
      <text>
        <r>
          <rPr>
            <sz val="9"/>
            <color indexed="81"/>
            <rFont val="Calibri"/>
            <family val="2"/>
          </rPr>
          <t xml:space="preserve">Not age standardised
</t>
        </r>
      </text>
    </comment>
    <comment ref="G13" authorId="0">
      <text>
        <r>
          <rPr>
            <sz val="9"/>
            <color indexed="81"/>
            <rFont val="Calibri"/>
            <family val="2"/>
          </rPr>
          <t>ASDR = Age-Specific Death Rates per 1,000 population or births =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*1000 
where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mortality rate per 100,000
</t>
        </r>
      </text>
    </comment>
    <comment ref="H14" authorId="0">
      <text>
        <r>
          <rPr>
            <sz val="9"/>
            <color indexed="81"/>
            <rFont val="Calibri"/>
            <family val="2"/>
          </rPr>
          <t xml:space="preserve">The lower 95% confidence interval for mortality rate per 1,000 population.
</t>
        </r>
      </text>
    </comment>
    <comment ref="I14" authorId="0">
      <text>
        <r>
          <rPr>
            <sz val="9"/>
            <color indexed="81"/>
            <rFont val="Calibri"/>
            <family val="2"/>
          </rPr>
          <t xml:space="preserve">The upper 95% confidence interval for mortality rate per 1,000 population.
</t>
        </r>
      </text>
    </comment>
    <comment ref="U22" authorId="0">
      <text>
        <r>
          <rPr>
            <sz val="9"/>
            <color indexed="81"/>
            <rFont val="Calibri"/>
            <family val="2"/>
          </rPr>
          <t xml:space="preserve">Not age standardised
</t>
        </r>
      </text>
    </comment>
    <comment ref="U36" authorId="0">
      <text>
        <r>
          <rPr>
            <sz val="9"/>
            <color indexed="81"/>
            <rFont val="Calibri"/>
            <family val="2"/>
          </rPr>
          <t xml:space="preserve">Cumulative risk of dying in the age interval. 
Cumulative risk is derived from cumulative rate.
</t>
        </r>
      </text>
    </comment>
    <comment ref="U39" authorId="0">
      <text>
        <r>
          <rPr>
            <sz val="9"/>
            <color indexed="81"/>
            <rFont val="Calibri"/>
            <family val="2"/>
          </rPr>
          <t>Probability of dying between ages 15 and 59 years derived from the life table values for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.
</t>
        </r>
      </text>
    </comment>
    <comment ref="B41" authorId="0">
      <text>
        <r>
          <rPr>
            <sz val="9"/>
            <color indexed="81"/>
            <rFont val="Calibri"/>
            <family val="2"/>
          </rPr>
          <t xml:space="preserve">Will handle zero death counts
</t>
        </r>
      </text>
    </comment>
    <comment ref="T44" authorId="0">
      <text>
        <r>
          <rPr>
            <sz val="9"/>
            <color indexed="81"/>
            <rFont val="Calibri"/>
            <family val="2"/>
          </rPr>
          <t xml:space="preserve">The World Health Organisation (WHO) Non-Communicable Diseases (NCD) target age group = 30 to 69 years
</t>
        </r>
      </text>
    </comment>
    <comment ref="U44" authorId="0">
      <text>
        <r>
          <rPr>
            <sz val="9"/>
            <color indexed="81"/>
            <rFont val="Calibri"/>
            <family val="2"/>
          </rPr>
          <t xml:space="preserve">Cumulative risk of dying in the age interval. 
Cumulative risk is derived from cumulative rate.
</t>
        </r>
      </text>
    </comment>
    <comment ref="U47" authorId="0">
      <text>
        <r>
          <rPr>
            <sz val="9"/>
            <color indexed="81"/>
            <rFont val="Calibri"/>
            <family val="2"/>
          </rPr>
          <t>Probability of dying between ages 30 and 69 years derived from the life table values for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.
</t>
        </r>
      </text>
    </comment>
    <comment ref="U52" authorId="0">
      <text>
        <r>
          <rPr>
            <sz val="9"/>
            <color indexed="81"/>
            <rFont val="Calibri"/>
            <family val="2"/>
          </rPr>
          <t xml:space="preserve">Cumulative risk of dying in the age interval. 
Cumulative risk is derived from cumulative rate.
</t>
        </r>
      </text>
    </comment>
    <comment ref="U55" authorId="0">
      <text>
        <r>
          <rPr>
            <sz val="9"/>
            <color indexed="81"/>
            <rFont val="Calibri"/>
            <family val="2"/>
          </rPr>
          <t>Probability of dying between ages 5 and 14 years derived from the life table values for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.
</t>
        </r>
      </text>
    </comment>
    <comment ref="U60" authorId="0">
      <text>
        <r>
          <rPr>
            <sz val="9"/>
            <color indexed="81"/>
            <rFont val="Calibri"/>
            <family val="2"/>
          </rPr>
          <t xml:space="preserve">The under 5 years mortality rate per 1,000 live births.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U13" authorId="0">
      <text>
        <r>
          <rPr>
            <sz val="9"/>
            <color indexed="81"/>
            <rFont val="Calibri"/>
            <family val="2"/>
          </rPr>
          <t>=d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
If deaths &gt;0 &amp; &lt;1, then adjusted deaths=1</t>
        </r>
      </text>
    </comment>
    <comment ref="X14" authorId="0">
      <text>
        <r>
          <rPr>
            <sz val="9"/>
            <color indexed="81"/>
            <rFont val="Calibri"/>
            <family val="2"/>
          </rPr>
          <t>The difference between the mortality rate per 1,000 and the lower or upper 95% confidence interval. 
For deaths &lt;100, use Poisson CIs.
For deaths ≥100 use Normal Approx Binomail CIs.
 These calculations are for graphing purposes only.</t>
        </r>
      </text>
    </comment>
    <comment ref="D15" authorId="0">
      <text>
        <r>
          <rPr>
            <sz val="9"/>
            <color indexed="81"/>
            <rFont val="Calibri"/>
            <family val="2"/>
          </rPr>
          <t>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width of the age interval in years
</t>
        </r>
      </text>
    </comment>
    <comment ref="E15" authorId="0">
      <text>
        <r>
          <rPr>
            <sz val="9"/>
            <color indexed="81"/>
            <rFont val="Calibri"/>
            <family val="2"/>
          </rPr>
          <t>a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the mean time lived during the the interval by those who die in the interval.
This is usually 0.5 except for infant or under 5 mortality where the distribution is skewed to the left. 
</t>
        </r>
      </text>
    </comment>
    <comment ref="F15" authorId="0">
      <text>
        <r>
          <rPr>
            <sz val="9"/>
            <color indexed="81"/>
            <rFont val="Calibri"/>
            <family val="2"/>
          </rPr>
          <t>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the reported size of the population (or number of births) in the age interval.
</t>
        </r>
      </text>
    </comment>
    <comment ref="G15" authorId="0">
      <text>
        <r>
          <rPr>
            <sz val="9"/>
            <color indexed="81"/>
            <rFont val="Calibri"/>
            <family val="2"/>
          </rPr>
          <t xml:space="preserve">deaths = the number of actual deaths in the age interval.
</t>
        </r>
      </text>
    </comment>
    <comment ref="H15" authorId="0">
      <text>
        <r>
          <rPr>
            <sz val="9"/>
            <color indexed="81"/>
            <rFont val="Calibri"/>
            <family val="2"/>
          </rPr>
          <t>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 = deaths (adj) = the number of deaths in the age interval with the unknown deaths re-distributed proportionate to the known reported deaths.
</t>
        </r>
      </text>
    </comment>
    <comment ref="I15" authorId="0">
      <text>
        <r>
          <rPr>
            <sz val="9"/>
            <color indexed="81"/>
            <rFont val="Calibri"/>
            <family val="2"/>
          </rPr>
          <t>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the mortality rate or age-speicific death rate (ASDR)
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>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L15" authorId="0">
      <text>
        <r>
          <rPr>
            <sz val="9"/>
            <color indexed="81"/>
            <rFont val="Calibri"/>
            <family val="2"/>
          </rPr>
          <t>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=( 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)/(1+n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*(1-a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)*m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
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1-p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M15" authorId="0">
      <text>
        <r>
          <rPr>
            <sz val="9"/>
            <color indexed="81"/>
            <rFont val="Calibri"/>
            <family val="2"/>
          </rPr>
          <t>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1-q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as 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+ q</t>
        </r>
        <r>
          <rPr>
            <vertAlign val="subscript"/>
            <sz val="9"/>
            <color indexed="81"/>
            <rFont val="Calibri"/>
            <family val="2"/>
          </rPr>
          <t xml:space="preserve">x </t>
        </r>
        <r>
          <rPr>
            <sz val="9"/>
            <color indexed="81"/>
            <rFont val="Calibri"/>
            <family val="2"/>
          </rPr>
          <t xml:space="preserve">= 1
</t>
        </r>
      </text>
    </comment>
    <comment ref="N15" authorId="0">
      <text>
        <r>
          <rPr>
            <sz val="9"/>
            <color indexed="81"/>
            <rFont val="Calibri"/>
            <family val="2"/>
          </rPr>
          <t>var(q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= the variance of the probability of dying using the Chiang I method
var(q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=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*(1-q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)/d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 
The Chiang I method cannot handle zero deaths</t>
        </r>
      </text>
    </comment>
    <comment ref="O15" authorId="0">
      <text>
        <r>
          <rPr>
            <sz val="9"/>
            <color indexed="81"/>
            <rFont val="Calibri"/>
            <family val="2"/>
          </rPr>
          <t>var(q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= the variance of the probability of dying using the Chiang II method
var(q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= (n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*(1-a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)*n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)/(N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*(1+(1-a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)*n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</t>
        </r>
        <r>
          <rPr>
            <vertAlign val="superscript"/>
            <sz val="9"/>
            <color indexed="81"/>
            <rFont val="Calibri"/>
            <family val="2"/>
          </rPr>
          <t>3</t>
        </r>
        <r>
          <rPr>
            <sz val="9"/>
            <color indexed="81"/>
            <rFont val="Calibri"/>
            <family val="2"/>
          </rPr>
          <t>)
Thus the Chiang II method allows for zero deaths .</t>
        </r>
      </text>
    </comment>
    <comment ref="P15" authorId="0">
      <text>
        <r>
          <rPr>
            <sz val="9"/>
            <color indexed="81"/>
            <rFont val="Calibri"/>
            <family val="2"/>
          </rPr>
          <t>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the mortality rate or age-speicific death rate (ASDR)
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>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Q15" authorId="0">
      <text>
        <r>
          <rPr>
            <sz val="9"/>
            <color indexed="81"/>
            <rFont val="Calibri"/>
            <family val="2"/>
          </rPr>
          <t>Mortality rate per 1,000 population/births =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*1000
</t>
        </r>
      </text>
    </comment>
    <comment ref="R15" authorId="0">
      <text>
        <r>
          <rPr>
            <sz val="9"/>
            <color indexed="81"/>
            <rFont val="Calibri"/>
            <family val="2"/>
          </rPr>
          <t>SE(m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= the standard error of the mortality rate
= √(var(m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
= √[(m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*(1-m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]
</t>
        </r>
      </text>
    </comment>
    <comment ref="S15" authorId="0">
      <text>
        <r>
          <rPr>
            <sz val="9"/>
            <color indexed="81"/>
            <rFont val="Calibri"/>
            <family val="2"/>
          </rPr>
          <t>= 1000*[m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-(1.96*SE(m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))]
For deaths ≥100.</t>
        </r>
      </text>
    </comment>
    <comment ref="T15" authorId="0">
      <text>
        <r>
          <rPr>
            <sz val="9"/>
            <color indexed="81"/>
            <rFont val="Calibri"/>
            <family val="2"/>
          </rPr>
          <t>= 1000*[m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+(1.96*SE(m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))]
For deaths ≥100.</t>
        </r>
      </text>
    </comment>
    <comment ref="V15" authorId="0">
      <text>
        <r>
          <rPr>
            <sz val="9"/>
            <color indexed="81"/>
            <rFont val="Calibri"/>
            <family val="2"/>
          </rPr>
          <t>=[Inv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(0.975,2*adj deaths)/2]*1000/N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where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 xml:space="preserve"> is denoted by CHIINV in Excel.
For deaths &lt;100</t>
        </r>
      </text>
    </comment>
    <comment ref="W15" authorId="0">
      <text>
        <r>
          <rPr>
            <sz val="9"/>
            <color indexed="81"/>
            <rFont val="Calibri"/>
            <family val="2"/>
          </rPr>
          <t>=[Inv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(0.025,2*(adj deaths+1))/2]*1000/N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where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 xml:space="preserve"> is denoted by CHIINV in Excel.
For deaths &lt;100</t>
        </r>
      </text>
    </comment>
    <comment ref="X15" authorId="0">
      <text>
        <r>
          <rPr>
            <sz val="9"/>
            <color indexed="81"/>
            <rFont val="Calibri"/>
            <family val="2"/>
          </rPr>
          <t>=(m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*1000) - L95%CI for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For graphing purposes.</t>
        </r>
      </text>
    </comment>
    <comment ref="Y15" authorId="0">
      <text>
        <r>
          <rPr>
            <sz val="9"/>
            <color indexed="81"/>
            <rFont val="Calibri"/>
            <family val="2"/>
          </rPr>
          <t>=U95%CI for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- 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*1000)
For graphing purposes.</t>
        </r>
      </text>
    </comment>
    <comment ref="AA15" authorId="0">
      <text>
        <r>
          <rPr>
            <sz val="9"/>
            <color indexed="81"/>
            <rFont val="Calibri"/>
            <family val="2"/>
          </rPr>
          <t xml:space="preserve">The world standard population by the World Health Organisation allowing for standardisation (and comparison) of most epidemiological and demographic rates.
Source: WHO. (2001). Discussion paper 31: Age standardization of rates: a new WHO standard. Retrieved from http://www.who.int/healthinfo/paper31.pdf.
</t>
        </r>
      </text>
    </comment>
    <comment ref="AB15" authorId="0">
      <text>
        <r>
          <rPr>
            <sz val="9"/>
            <color indexed="81"/>
            <rFont val="Calibri"/>
            <family val="2"/>
          </rPr>
          <t>N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 xml:space="preserve"> = Intermediate calculation for computing the standard error of the direct age-standardised death rate (SE (DASR))
</t>
        </r>
      </text>
    </comment>
    <comment ref="AC15" authorId="0">
      <text>
        <r>
          <rPr>
            <sz val="9"/>
            <color indexed="81"/>
            <rFont val="Calibri"/>
            <family val="2"/>
          </rPr>
          <t>Expected number of deaths when the mortality rate 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 is applied to the world standardised population (N)
=m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*N
</t>
        </r>
      </text>
    </comment>
    <comment ref="AD15" authorId="0">
      <text>
        <r>
          <rPr>
            <sz val="9"/>
            <color indexed="81"/>
            <rFont val="Calibri"/>
            <family val="2"/>
          </rPr>
          <t>= Intermediate calculation II for calculating the standard error of the direct age-standardised rate (SE(DASR))
where: 
N = world standardised population 
and 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sample population</t>
        </r>
      </text>
    </comment>
    <comment ref="I39" authorId="0">
      <text>
        <r>
          <rPr>
            <sz val="9"/>
            <color indexed="81"/>
            <rFont val="Calibri"/>
            <family val="2"/>
          </rPr>
          <t>Crude death rate (CDR) = deaths/population
= 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>/N</t>
        </r>
        <r>
          <rPr>
            <vertAlign val="subscript"/>
            <sz val="9"/>
            <color indexed="81"/>
            <rFont val="Calibri"/>
            <family val="2"/>
          </rPr>
          <t>x</t>
        </r>
      </text>
    </comment>
    <comment ref="J39" authorId="0">
      <text>
        <r>
          <rPr>
            <sz val="9"/>
            <color indexed="81"/>
            <rFont val="Calibri"/>
            <family val="2"/>
          </rPr>
          <t xml:space="preserve">The standard error of the crude death rate 
= √(variance of CDR).
</t>
        </r>
      </text>
    </comment>
    <comment ref="K39" authorId="0">
      <text>
        <r>
          <rPr>
            <sz val="9"/>
            <color indexed="81"/>
            <rFont val="Calibri"/>
            <family val="2"/>
          </rPr>
          <t>= CDR-(1.96*SE(CDR))
Normal Approx Binomial for deaths ≥100</t>
        </r>
      </text>
    </comment>
    <comment ref="L39" authorId="0">
      <text>
        <r>
          <rPr>
            <sz val="9"/>
            <color indexed="81"/>
            <rFont val="Calibri"/>
            <family val="2"/>
          </rPr>
          <t>= CDR+(1.96*SE(CDR))
Normal Approx Binomial for deaths ≥100</t>
        </r>
      </text>
    </comment>
    <comment ref="M39" authorId="0">
      <text>
        <r>
          <rPr>
            <sz val="9"/>
            <color indexed="81"/>
            <rFont val="Calibri"/>
            <family val="2"/>
          </rPr>
          <t>=[Inv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(0.975,2*deaths)/2]/N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where deaths = Σd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 and 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Σpopulations for combined age intervals.
Poisson method for deaths &lt;100</t>
        </r>
      </text>
    </comment>
    <comment ref="N39" authorId="0">
      <text>
        <r>
          <rPr>
            <sz val="9"/>
            <color indexed="81"/>
            <rFont val="Calibri"/>
            <family val="2"/>
          </rPr>
          <t>=[Inv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(0.025,2*(deaths+1))/2]/N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where deaths = Σd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 and N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Σpopulations for combined age intervals.
Poisson method for deaths &lt;100</t>
        </r>
      </text>
    </comment>
    <comment ref="X39" authorId="0">
      <text>
        <r>
          <rPr>
            <sz val="9"/>
            <color indexed="81"/>
            <rFont val="Calibri"/>
            <family val="2"/>
          </rPr>
          <t xml:space="preserve">=Σ(mx*N)/ΣN
</t>
        </r>
      </text>
    </comment>
    <comment ref="Y39" authorId="0">
      <text>
        <r>
          <rPr>
            <sz val="9"/>
            <color indexed="81"/>
            <rFont val="Calibri"/>
            <family val="2"/>
          </rPr>
          <t xml:space="preserve">The standard error of the direct age-standardised death rate
 = √(variance of DASR)
</t>
        </r>
      </text>
    </comment>
    <comment ref="Z39" authorId="0">
      <text>
        <r>
          <rPr>
            <sz val="9"/>
            <color indexed="81"/>
            <rFont val="Calibri"/>
            <family val="2"/>
          </rPr>
          <t xml:space="preserve">The direct age-standardised death rate per 1,000 population = DASR*1000
</t>
        </r>
      </text>
    </comment>
    <comment ref="AA39" authorId="0">
      <text>
        <r>
          <rPr>
            <sz val="9"/>
            <color indexed="81"/>
            <rFont val="Calibri"/>
            <family val="2"/>
          </rPr>
          <t xml:space="preserve">The standard error of the DASR per 1,000 population = SE(DASR)*1,000
</t>
        </r>
      </text>
    </comment>
    <comment ref="AB39" authorId="0">
      <text>
        <r>
          <rPr>
            <sz val="9"/>
            <color indexed="81"/>
            <rFont val="Calibri"/>
            <family val="2"/>
          </rPr>
          <t xml:space="preserve">= DASR-(1.96*SE(DASR)) 
where  DASR and SE(DASR) are per 1,000
Normal Approx Binomial for deaths ≥100
</t>
        </r>
      </text>
    </comment>
    <comment ref="AC39" authorId="0">
      <text>
        <r>
          <rPr>
            <sz val="9"/>
            <color indexed="81"/>
            <rFont val="Calibri"/>
            <family val="2"/>
          </rPr>
          <t>= DASR+(1.96*SE(DASR)) 
where  DASR and SE(DASR) are per 1,000
Normal Approx Binomial for deaths ≥100</t>
        </r>
      </text>
    </comment>
    <comment ref="AD39" authorId="0">
      <text>
        <r>
          <rPr>
            <sz val="9"/>
            <color indexed="81"/>
            <rFont val="Calibri"/>
            <family val="2"/>
          </rPr>
          <t>= DASR+(L95%CI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))*√[(SE(DASR)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AE39" authorId="0">
      <text>
        <r>
          <rPr>
            <sz val="9"/>
            <color indexed="81"/>
            <rFont val="Calibri"/>
            <family val="2"/>
          </rPr>
          <t>= DASR+(U95%CI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))*√[(SE(DASR)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D40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(0.975,2*deaths)/2</t>
        </r>
      </text>
    </comment>
    <comment ref="E40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(0.025,2*(deaths+1)/2</t>
        </r>
      </text>
    </comment>
    <comment ref="B45" authorId="0">
      <text>
        <r>
          <rPr>
            <sz val="9"/>
            <color indexed="81"/>
            <rFont val="Calibri"/>
            <family val="2"/>
          </rPr>
          <t xml:space="preserve">= 100,000*number of maternal deaths/total births
</t>
        </r>
      </text>
    </comment>
    <comment ref="D45" authorId="0">
      <text>
        <r>
          <rPr>
            <sz val="9"/>
            <color indexed="81"/>
            <rFont val="Calibri"/>
            <family val="2"/>
          </rPr>
          <t xml:space="preserve">=100,000* L95%CI for maternal deaths/births
where Poisson method is used for L95%CI for maternal deaths
</t>
        </r>
      </text>
    </comment>
    <comment ref="E45" authorId="0">
      <text>
        <r>
          <rPr>
            <sz val="9"/>
            <color indexed="81"/>
            <rFont val="Calibri"/>
            <family val="2"/>
          </rPr>
          <t xml:space="preserve">=100,000* U95%CI for maternal deaths/births
where Poisson method is used for U95%CI for maternal deaths
</t>
        </r>
      </text>
    </comment>
    <comment ref="I46" authorId="0">
      <text>
        <r>
          <rPr>
            <sz val="9"/>
            <color indexed="81"/>
            <rFont val="Calibri"/>
            <family val="2"/>
          </rPr>
          <t xml:space="preserve">The sum of the cumulative rates for particular combined age intervals.
</t>
        </r>
      </text>
    </comment>
    <comment ref="J46" authorId="0">
      <text>
        <r>
          <rPr>
            <sz val="9"/>
            <color indexed="81"/>
            <rFont val="Calibri"/>
            <family val="2"/>
          </rPr>
          <t xml:space="preserve">The standard error of the crude death rate 
= √(variance of Σcum rates).
</t>
        </r>
      </text>
    </comment>
    <comment ref="K46" authorId="0">
      <text>
        <r>
          <rPr>
            <sz val="9"/>
            <color indexed="81"/>
            <rFont val="Calibri"/>
            <family val="2"/>
          </rPr>
          <t>= cum rate-(1.96*SE(cum rate))
Normal Approx Binomial for deaths ≥100</t>
        </r>
      </text>
    </comment>
    <comment ref="L46" authorId="0">
      <text>
        <r>
          <rPr>
            <sz val="9"/>
            <color indexed="81"/>
            <rFont val="Calibri"/>
            <family val="2"/>
          </rPr>
          <t>= cum rate+(1.96*SE(cum rate))
Normal Approx Binomial for deaths ≥100</t>
        </r>
      </text>
    </comment>
    <comment ref="M46" authorId="0">
      <text>
        <r>
          <rPr>
            <sz val="9"/>
            <color indexed="81"/>
            <rFont val="Calibri"/>
            <family val="2"/>
          </rPr>
          <t>= cum rate+(L95%CI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))*√[(SE(cum rate)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N46" authorId="0">
      <text>
        <r>
          <rPr>
            <sz val="9"/>
            <color indexed="81"/>
            <rFont val="Calibri"/>
            <family val="2"/>
          </rPr>
          <t>= cum rate+(U95%CI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))*√[(SE(cum rate)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P46" authorId="0">
      <text>
        <r>
          <rPr>
            <sz val="9"/>
            <color indexed="81"/>
            <rFont val="Calibri"/>
            <family val="2"/>
          </rPr>
          <t>=1-(-1*cum rate)</t>
        </r>
        <r>
          <rPr>
            <vertAlign val="superscript"/>
            <sz val="9"/>
            <color indexed="81"/>
            <rFont val="Calibri"/>
            <family val="2"/>
          </rPr>
          <t>e</t>
        </r>
        <r>
          <rPr>
            <sz val="9"/>
            <color indexed="81"/>
            <rFont val="Calibri"/>
            <family val="2"/>
          </rPr>
          <t xml:space="preserve">
= 1-EXP(-(cum rate))
</t>
        </r>
      </text>
    </comment>
    <comment ref="Q46" authorId="0">
      <text>
        <r>
          <rPr>
            <sz val="9"/>
            <color indexed="81"/>
            <rFont val="Calibri"/>
            <family val="2"/>
          </rPr>
          <t>=1-(-1*L95%CI for cum rate)</t>
        </r>
        <r>
          <rPr>
            <vertAlign val="superscript"/>
            <sz val="9"/>
            <color indexed="81"/>
            <rFont val="Calibri"/>
            <family val="2"/>
          </rPr>
          <t>e</t>
        </r>
        <r>
          <rPr>
            <sz val="9"/>
            <color indexed="81"/>
            <rFont val="Calibri"/>
            <family val="2"/>
          </rPr>
          <t xml:space="preserve">
= 1-EXP(-(L95%CI for cum rate))
where the L95%CI for the cumulative rate uses the Normal Approx Binomial method.
For deaths ≥100
</t>
        </r>
      </text>
    </comment>
    <comment ref="R46" authorId="0">
      <text>
        <r>
          <rPr>
            <sz val="9"/>
            <color indexed="81"/>
            <rFont val="Calibri"/>
            <family val="2"/>
          </rPr>
          <t>=1-(-1*U95%CI for cum rate)</t>
        </r>
        <r>
          <rPr>
            <vertAlign val="superscript"/>
            <sz val="9"/>
            <color indexed="81"/>
            <rFont val="Calibri"/>
            <family val="2"/>
          </rPr>
          <t>e</t>
        </r>
        <r>
          <rPr>
            <sz val="9"/>
            <color indexed="81"/>
            <rFont val="Calibri"/>
            <family val="2"/>
          </rPr>
          <t xml:space="preserve">
= 1-EXP(-(U95%CI for cum rate))
where the U95%CI for the cumulative rate uses the Normal Approx Binomial method.
For deaths ≥100.
</t>
        </r>
      </text>
    </comment>
    <comment ref="S46" authorId="0">
      <text>
        <r>
          <rPr>
            <sz val="9"/>
            <color indexed="81"/>
            <rFont val="Calibri"/>
            <family val="2"/>
          </rPr>
          <t>=1-(-1*L95%CI for cum rate)</t>
        </r>
        <r>
          <rPr>
            <vertAlign val="superscript"/>
            <sz val="9"/>
            <color indexed="81"/>
            <rFont val="Calibri"/>
            <family val="2"/>
          </rPr>
          <t>e</t>
        </r>
        <r>
          <rPr>
            <sz val="9"/>
            <color indexed="81"/>
            <rFont val="Calibri"/>
            <family val="2"/>
          </rPr>
          <t xml:space="preserve">
= 1-EXP(-(L95%CI for cum rate))
where the L95%CI for the cumulative rate uses the Poisson (Dobson) method.
</t>
        </r>
      </text>
    </comment>
    <comment ref="T46" authorId="0">
      <text>
        <r>
          <rPr>
            <sz val="9"/>
            <color indexed="81"/>
            <rFont val="Calibri"/>
            <family val="2"/>
          </rPr>
          <t>=1-(-1*U95%CI for cum rate)</t>
        </r>
        <r>
          <rPr>
            <vertAlign val="superscript"/>
            <sz val="9"/>
            <color indexed="81"/>
            <rFont val="Calibri"/>
            <family val="2"/>
          </rPr>
          <t>e</t>
        </r>
        <r>
          <rPr>
            <sz val="9"/>
            <color indexed="81"/>
            <rFont val="Calibri"/>
            <family val="2"/>
          </rPr>
          <t xml:space="preserve">
= 1-EXP(-(U95%CI for cum rate))
where the U95%CI for the cumulative rate uses the Poisson (Dobson) method.
</t>
        </r>
      </text>
    </comment>
    <comment ref="X47" authorId="0">
      <text>
        <r>
          <rPr>
            <sz val="9"/>
            <color indexed="81"/>
            <rFont val="Calibri"/>
            <family val="2"/>
          </rPr>
          <t>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 xml:space="preserve"> = deaths (adj) = the number of deaths in the age interval with the unknown deaths re-distributed proportionate to the known reported deaths.
</t>
        </r>
      </text>
    </comment>
    <comment ref="Z47" authorId="0">
      <text>
        <r>
          <rPr>
            <sz val="9"/>
            <color indexed="81"/>
            <rFont val="Calibri"/>
            <family val="2"/>
          </rPr>
          <t xml:space="preserve">Sum of actual deaths (adjusted) for particular combined age intervals
</t>
        </r>
      </text>
    </comment>
    <comment ref="AA47" authorId="0">
      <text>
        <r>
          <rPr>
            <sz val="9"/>
            <color indexed="81"/>
            <rFont val="Calibri"/>
            <family val="2"/>
          </rPr>
          <t>=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(0.975,2*d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>)/2
where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 xml:space="preserve"> is denoted by CHIINV in Excel.
The Poisson method for calculating the Poisson (Dobson) method for DASR CIs.
</t>
        </r>
      </text>
    </comment>
    <comment ref="AB47" authorId="0">
      <text>
        <r>
          <rPr>
            <sz val="9"/>
            <color indexed="81"/>
            <rFont val="Calibri"/>
            <family val="2"/>
          </rPr>
          <t>=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(0.025,2*(d</t>
        </r>
        <r>
          <rPr>
            <vertAlign val="subscript"/>
            <sz val="9"/>
            <color indexed="81"/>
            <rFont val="Calibri"/>
            <family val="2"/>
          </rPr>
          <t>(adj)</t>
        </r>
        <r>
          <rPr>
            <sz val="9"/>
            <color indexed="81"/>
            <rFont val="Calibri"/>
            <family val="2"/>
          </rPr>
          <t>+1))/2
where Inv Χ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 xml:space="preserve"> is denoted by CHIINV in Excel.
The Poisson method for calculating the Poisson (Dobson) method for DASR CIs.</t>
        </r>
      </text>
    </comment>
    <comment ref="D51" authorId="0">
      <text>
        <r>
          <rPr>
            <sz val="9"/>
            <color indexed="81"/>
            <rFont val="Calibri"/>
            <family val="2"/>
          </rPr>
          <t xml:space="preserve">Proportion of cause-specific deaths to all-cause deaths expressed as a percentage.
</t>
        </r>
      </text>
    </comment>
    <comment ref="E52" authorId="0">
      <text>
        <r>
          <rPr>
            <sz val="9"/>
            <color indexed="81"/>
            <rFont val="Calibri"/>
            <family val="2"/>
          </rPr>
          <t xml:space="preserve">L95%CI using the "exact binomial" or "Clopper-Pearson' method.
 </t>
        </r>
      </text>
    </comment>
    <comment ref="F52" authorId="0">
      <text>
        <r>
          <rPr>
            <sz val="9"/>
            <color indexed="81"/>
            <rFont val="Calibri"/>
            <family val="2"/>
          </rPr>
          <t xml:space="preserve">U95%CI using the "exact binomial" or "Clopper-Pearson' method.
 </t>
        </r>
      </text>
    </comment>
    <comment ref="I54" authorId="0">
      <text>
        <r>
          <rPr>
            <sz val="9"/>
            <color indexed="81"/>
            <rFont val="Calibri"/>
            <family val="2"/>
          </rPr>
          <t>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probability of dying = 1-Πp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
where 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= probability of surviving the age interval and Π indicates multiplication of all p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values for the combined age intervals used.
</t>
        </r>
      </text>
    </comment>
    <comment ref="J54" authorId="0">
      <text>
        <r>
          <rPr>
            <sz val="9"/>
            <color indexed="81"/>
            <rFont val="Calibri"/>
            <family val="2"/>
          </rPr>
          <t>The standard error of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(the probability of dying) = √(Σvariances of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 for the combined age intervals).
</t>
        </r>
      </text>
    </comment>
    <comment ref="K54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-(1.96*SE(q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))
Normal Approx Binomial for deaths ≥100
</t>
        </r>
      </text>
    </comment>
    <comment ref="L54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+(1.96*SE(q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 xml:space="preserve">))
Normal Approx Binomial for deaths ≥100
</t>
        </r>
      </text>
    </comment>
    <comment ref="M54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+(L95%CI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N54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+(U95%CI for deaths-d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>))*√[(SE(q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</t>
        </r>
        <r>
          <rPr>
            <vertAlign val="superscript"/>
            <sz val="9"/>
            <color indexed="81"/>
            <rFont val="Calibri"/>
            <family val="2"/>
          </rPr>
          <t>2</t>
        </r>
        <r>
          <rPr>
            <sz val="9"/>
            <color indexed="81"/>
            <rFont val="Calibri"/>
            <family val="2"/>
          </rPr>
          <t>/d</t>
        </r>
        <r>
          <rPr>
            <vertAlign val="subscript"/>
            <sz val="9"/>
            <color indexed="81"/>
            <rFont val="Calibri"/>
            <family val="2"/>
          </rPr>
          <t>(adj</t>
        </r>
        <r>
          <rPr>
            <sz val="9"/>
            <color indexed="81"/>
            <rFont val="Calibri"/>
            <family val="2"/>
          </rPr>
          <t xml:space="preserve">)]
</t>
        </r>
      </text>
    </comment>
    <comment ref="I62" authorId="0">
      <text>
        <r>
          <rPr>
            <sz val="9"/>
            <color indexed="81"/>
            <rFont val="Calibri"/>
            <family val="2"/>
          </rPr>
          <t xml:space="preserve">U5M = the under 5 years mortality rate = the probability of dying in the age interval &lt;5 years = number of deaths &lt;5/number of births.
</t>
        </r>
      </text>
    </comment>
    <comment ref="J62" authorId="0">
      <text>
        <r>
          <rPr>
            <sz val="9"/>
            <color indexed="81"/>
            <rFont val="Calibri"/>
            <family val="2"/>
          </rPr>
          <t xml:space="preserve">The standard error of the &lt;5 mortality rate
 = √(variance of the &lt;5 mortality rate)
</t>
        </r>
      </text>
    </comment>
    <comment ref="K62" authorId="0">
      <text>
        <r>
          <rPr>
            <sz val="9"/>
            <color indexed="81"/>
            <rFont val="Calibri"/>
            <family val="2"/>
          </rPr>
          <t>=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-(1.96*SE(m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
Normal Approx Binomial for deaths ≥100</t>
        </r>
      </text>
    </comment>
    <comment ref="L62" authorId="0">
      <text>
        <r>
          <rPr>
            <sz val="9"/>
            <color indexed="81"/>
            <rFont val="Calibri"/>
            <family val="2"/>
          </rPr>
          <t>= 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+(1.96*SE(m</t>
        </r>
        <r>
          <rPr>
            <vertAlign val="subscript"/>
            <sz val="9"/>
            <color indexed="81"/>
            <rFont val="Calibri"/>
            <family val="2"/>
          </rPr>
          <t>x</t>
        </r>
        <r>
          <rPr>
            <sz val="9"/>
            <color indexed="81"/>
            <rFont val="Calibri"/>
            <family val="2"/>
          </rPr>
          <t>))
Normal Approx Binomial for deaths ≥100</t>
        </r>
      </text>
    </comment>
    <comment ref="M62" authorId="0">
      <text>
        <r>
          <rPr>
            <sz val="9"/>
            <color indexed="81"/>
            <rFont val="Calibri"/>
            <family val="2"/>
          </rPr>
          <t>=(L95% CI of cum rate under 5 Poisson method)/N</t>
        </r>
        <r>
          <rPr>
            <vertAlign val="subscript"/>
            <sz val="9"/>
            <color indexed="81"/>
            <rFont val="Calibri"/>
            <family val="2"/>
          </rPr>
          <t xml:space="preserve">x
</t>
        </r>
        <r>
          <rPr>
            <sz val="9"/>
            <color indexed="81"/>
            <rFont val="Calibri"/>
            <family val="2"/>
          </rPr>
          <t>=(L95% CI of cum rate under 5 Poisson method)/N</t>
        </r>
        <r>
          <rPr>
            <vertAlign val="subscript"/>
            <sz val="9"/>
            <color indexed="81"/>
            <rFont val="Calibri"/>
            <family val="2"/>
          </rPr>
          <t>&lt;5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N62" authorId="0">
      <text>
        <r>
          <rPr>
            <sz val="9"/>
            <color indexed="81"/>
            <rFont val="Calibri"/>
            <family val="2"/>
          </rPr>
          <t>=(U95% CI of cum rate under 5 Poisson method)/N</t>
        </r>
        <r>
          <rPr>
            <vertAlign val="subscript"/>
            <sz val="9"/>
            <color indexed="81"/>
            <rFont val="Calibri"/>
            <family val="2"/>
          </rPr>
          <t xml:space="preserve">x
</t>
        </r>
        <r>
          <rPr>
            <sz val="9"/>
            <color indexed="81"/>
            <rFont val="Calibri"/>
            <family val="2"/>
          </rPr>
          <t>=(U95% CI of cum rate under 5 Poisson method)/N</t>
        </r>
        <r>
          <rPr>
            <vertAlign val="subscript"/>
            <sz val="9"/>
            <color indexed="81"/>
            <rFont val="Calibri"/>
            <family val="2"/>
          </rPr>
          <t>&lt;5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<sst xmlns="http://schemas.openxmlformats.org/spreadsheetml/2006/main" count="440" uniqueCount="193">
  <si>
    <t>x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</si>
  <si>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</si>
  <si>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</si>
  <si>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</si>
  <si>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</si>
  <si>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</si>
  <si>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</si>
  <si>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</si>
  <si>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</si>
  <si>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</si>
  <si>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</si>
  <si>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</si>
  <si>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</si>
  <si>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</si>
  <si>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</si>
  <si>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15-59 yrs</t>
  </si>
  <si>
    <t>75+</t>
  </si>
  <si>
    <t>&lt;5</t>
  </si>
  <si>
    <t>per 1000</t>
  </si>
  <si>
    <t>Deaths</t>
  </si>
  <si>
    <t>DiffL95%CI</t>
  </si>
  <si>
    <t>DiffU95%CI</t>
  </si>
  <si>
    <t>Results =</t>
  </si>
  <si>
    <t>Death rate per 1000 and 95% CIs</t>
  </si>
  <si>
    <t>N</t>
  </si>
  <si>
    <r>
      <t>N</t>
    </r>
    <r>
      <rPr>
        <vertAlign val="superscript"/>
        <sz val="11"/>
        <color theme="1"/>
        <rFont val="Calibri"/>
        <family val="2"/>
        <scheme val="minor"/>
      </rPr>
      <t>2</t>
    </r>
  </si>
  <si>
    <t>All ages</t>
  </si>
  <si>
    <t>Totals 15-59 yrs =</t>
  </si>
  <si>
    <t xml:space="preserve">Cum Risk </t>
  </si>
  <si>
    <t>Maternal Mortality</t>
  </si>
  <si>
    <t>Births</t>
  </si>
  <si>
    <t>Rate (ratio)</t>
  </si>
  <si>
    <t>Proportional Mortality by cause</t>
  </si>
  <si>
    <t>deaths</t>
  </si>
  <si>
    <t>Normal Approx Binomial</t>
  </si>
  <si>
    <t>Poisson (Dobson)</t>
  </si>
  <si>
    <t>For the same period</t>
  </si>
  <si>
    <t>Totals</t>
  </si>
  <si>
    <t>Direct Age Standardisation with 95% CIs</t>
  </si>
  <si>
    <t>5-14 yrs</t>
  </si>
  <si>
    <t>30-69 yrs</t>
  </si>
  <si>
    <t>Probability of dying</t>
  </si>
  <si>
    <t>Tot Excl Unkn</t>
  </si>
  <si>
    <t>according to proportional age distribution</t>
  </si>
  <si>
    <t>2010-2013</t>
  </si>
  <si>
    <t xml:space="preserve">Fractional deaths &gt; 0 and &lt; 1 are rounded to 1 for For Poisson CIs </t>
  </si>
  <si>
    <t>of deaths of known ages</t>
  </si>
  <si>
    <t>Death rates of zero cannot be displayed on a log scale and are deleted from the graph</t>
  </si>
  <si>
    <t xml:space="preserve">Zero age specific death rates and Poisson 95% Cis are included in the adjacent table </t>
  </si>
  <si>
    <t>Deaths of unknown age are re-distributed</t>
  </si>
  <si>
    <t>Pacific Island</t>
  </si>
  <si>
    <t>Can be used for all cause or cause specific mortality</t>
  </si>
  <si>
    <t>Chiang II</t>
  </si>
  <si>
    <t>Adults</t>
  </si>
  <si>
    <t>Chiang I</t>
  </si>
  <si>
    <t>Direct Age-Standardisation of Death Rates</t>
  </si>
  <si>
    <t>Data entry =</t>
  </si>
  <si>
    <t>File Labels:</t>
  </si>
  <si>
    <t>Place:</t>
  </si>
  <si>
    <t>Sex:</t>
  </si>
  <si>
    <t>Period:</t>
  </si>
  <si>
    <t>&lt;5 to ≥75 years</t>
  </si>
  <si>
    <t>Males</t>
  </si>
  <si>
    <t>Calculations:  &lt;5 to ≥75 years</t>
  </si>
  <si>
    <t>World Standard Population (N)</t>
  </si>
  <si>
    <t>Totals =</t>
  </si>
  <si>
    <t>All-cause Deaths</t>
  </si>
  <si>
    <t>Cause-specific Deaths</t>
  </si>
  <si>
    <t>Maternal Deaths</t>
  </si>
  <si>
    <t>Ages &lt;5 to ≥75 years in 5 year intervals</t>
  </si>
  <si>
    <t>Life Table:</t>
  </si>
  <si>
    <t>Age interval</t>
  </si>
  <si>
    <t>Years in interval</t>
  </si>
  <si>
    <t>Linearity Adjustment</t>
  </si>
  <si>
    <t>Reported pop/births</t>
  </si>
  <si>
    <t>(years)</t>
  </si>
  <si>
    <t>Mortality rate</t>
  </si>
  <si>
    <t>Cumulative Rate</t>
  </si>
  <si>
    <t>Variance of the cumulative rate</t>
  </si>
  <si>
    <t>Probability of surviving</t>
  </si>
  <si>
    <t>Method:</t>
  </si>
  <si>
    <t>Mortality rate (per 100,000)</t>
  </si>
  <si>
    <t>Mortality rate (per 1,000)</t>
  </si>
  <si>
    <t>CIs for Mortality Rate</t>
  </si>
  <si>
    <t>per 1,000</t>
  </si>
  <si>
    <t>Norm Approx Binom</t>
  </si>
  <si>
    <t>L 95% CI</t>
  </si>
  <si>
    <t>U 95% CI</t>
  </si>
  <si>
    <t>Deaths adjusted for Poisson</t>
  </si>
  <si>
    <t>Graph Calculations</t>
  </si>
  <si>
    <t>Poisson Distribution</t>
  </si>
  <si>
    <t>Mortality rate ± CI</t>
  </si>
  <si>
    <t>Unknown</t>
  </si>
  <si>
    <t>Reported deaths</t>
  </si>
  <si>
    <t>Adjusted deaths</t>
  </si>
  <si>
    <t>World Standard Pop</t>
  </si>
  <si>
    <t>Totals all ages =</t>
  </si>
  <si>
    <t>Lower age interval value</t>
  </si>
  <si>
    <r>
      <t>N</t>
    </r>
    <r>
      <rPr>
        <vertAlign val="subscript"/>
        <sz val="11"/>
        <color theme="1"/>
        <rFont val="Calibri"/>
        <family val="2"/>
        <scheme val="minor"/>
      </rPr>
      <t>x</t>
    </r>
  </si>
  <si>
    <t>Crude Death Rate (CDR)</t>
  </si>
  <si>
    <t>CDR</t>
  </si>
  <si>
    <t>CIs for Crude Death Rate</t>
  </si>
  <si>
    <t>Norm Approx Binomial</t>
  </si>
  <si>
    <t>Specific-cause Deaths</t>
  </si>
  <si>
    <t>CIs for Proportional Mortality</t>
  </si>
  <si>
    <t>CIs for Maternal Mortality</t>
  </si>
  <si>
    <t>per 100,000</t>
  </si>
  <si>
    <t>CIs for Maternal Deaths</t>
  </si>
  <si>
    <t>Maternal Mortality Calculations</t>
  </si>
  <si>
    <t>Probability of Dying</t>
  </si>
  <si>
    <t>Cumulative Risk</t>
  </si>
  <si>
    <t>SE (Cum Rate)</t>
  </si>
  <si>
    <t>0-&lt;5 yrs</t>
  </si>
  <si>
    <t>0-39 yrs</t>
  </si>
  <si>
    <t>15-34yrs</t>
  </si>
  <si>
    <t>35-59 yrs</t>
  </si>
  <si>
    <t>15-64 yrs</t>
  </si>
  <si>
    <t>15-69 yrs</t>
  </si>
  <si>
    <t>Age Interval</t>
  </si>
  <si>
    <t>CIs for Cumulative Rate</t>
  </si>
  <si>
    <t>CIs for Cumulative Risk</t>
  </si>
  <si>
    <t>CIs for Probability of Dying</t>
  </si>
  <si>
    <t>Cumulative Risk from Cumulative Rate Method</t>
  </si>
  <si>
    <t>U5M (&lt;5 Mortality): Probability of Dying</t>
  </si>
  <si>
    <t>U5M</t>
  </si>
  <si>
    <t>SE (CDR)</t>
  </si>
  <si>
    <t>SE (U5M)</t>
  </si>
  <si>
    <t>&lt;5 yrs</t>
  </si>
  <si>
    <t>Dobson 1991 Poisson method of calculating Cumulative Rate CIs</t>
  </si>
  <si>
    <t>Age specific deaths</t>
  </si>
  <si>
    <t>≥75</t>
  </si>
  <si>
    <t>Direct Age-Standardised Rate (DASR)</t>
  </si>
  <si>
    <t>DASR</t>
  </si>
  <si>
    <t>SE (DASR)</t>
  </si>
  <si>
    <t>DASR/1000</t>
  </si>
  <si>
    <t>SE (DASR)/1000</t>
  </si>
  <si>
    <t>Mortality Rate &amp; Confidence Intervals:</t>
  </si>
  <si>
    <t>Cumulative Risk &amp; Standard Error calculations:</t>
  </si>
  <si>
    <t>Expected deaths in standard pop</t>
  </si>
  <si>
    <t>Data:</t>
  </si>
  <si>
    <t>Age Specific Death Rates</t>
  </si>
  <si>
    <t>CDR/1000</t>
  </si>
  <si>
    <t>CI Method</t>
  </si>
  <si>
    <t>&lt;5 to ≥75yrs</t>
  </si>
  <si>
    <t>Adults (WHO)</t>
  </si>
  <si>
    <t>Under 5 yrs</t>
  </si>
  <si>
    <t>Probability of dying (per 1,000 population)</t>
  </si>
  <si>
    <t>Probability of dying (per 1,000 births)</t>
  </si>
  <si>
    <t>Proportional Mortality by Cause</t>
  </si>
  <si>
    <t>Direct Age Standardisation with 95% Confidence Intervals</t>
  </si>
  <si>
    <t>Maternal Mortality Rate (ratio)</t>
  </si>
  <si>
    <t>Children</t>
  </si>
  <si>
    <t>Intermediate Calculation II</t>
  </si>
  <si>
    <t>Intermediate Calculation I</t>
  </si>
  <si>
    <t>Death Rates</t>
  </si>
  <si>
    <t xml:space="preserve">Proportional Mortality </t>
  </si>
  <si>
    <t xml:space="preserve">Exact binomial </t>
  </si>
  <si>
    <t>Cum Rate</t>
  </si>
  <si>
    <t>Direct Age-Standardised Rate Calculations:</t>
  </si>
  <si>
    <t>Exact binomial</t>
  </si>
  <si>
    <r>
      <t>m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*N</t>
    </r>
  </si>
  <si>
    <r>
      <t>CIs for Probability of Dying (q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</si>
  <si>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r>
      <t>Standard Error of m</t>
    </r>
    <r>
      <rPr>
        <vertAlign val="subscript"/>
        <sz val="11"/>
        <rFont val="Calibri"/>
        <family val="2"/>
        <scheme val="minor"/>
      </rPr>
      <t>x</t>
    </r>
  </si>
  <si>
    <r>
      <t>n</t>
    </r>
    <r>
      <rPr>
        <vertAlign val="subscript"/>
        <sz val="11"/>
        <rFont val="Calibri"/>
        <family val="2"/>
        <scheme val="minor"/>
      </rPr>
      <t>x</t>
    </r>
  </si>
  <si>
    <r>
      <t>a</t>
    </r>
    <r>
      <rPr>
        <vertAlign val="subscript"/>
        <sz val="11"/>
        <rFont val="Calibri"/>
        <family val="2"/>
        <scheme val="minor"/>
      </rPr>
      <t>x</t>
    </r>
  </si>
  <si>
    <r>
      <t>m</t>
    </r>
    <r>
      <rPr>
        <vertAlign val="subscript"/>
        <sz val="11"/>
        <rFont val="Calibri"/>
        <family val="2"/>
        <scheme val="minor"/>
      </rPr>
      <t>x</t>
    </r>
  </si>
  <si>
    <r>
      <t>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*n</t>
    </r>
    <r>
      <rPr>
        <vertAlign val="subscript"/>
        <sz val="11"/>
        <rFont val="Calibri"/>
        <family val="2"/>
        <scheme val="minor"/>
      </rPr>
      <t>x</t>
    </r>
  </si>
  <si>
    <r>
      <t>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*n</t>
    </r>
    <r>
      <rPr>
        <vertAlign val="subscript"/>
        <sz val="11"/>
        <rFont val="Calibri"/>
        <family val="2"/>
        <scheme val="minor"/>
      </rPr>
      <t>x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/N</t>
    </r>
    <r>
      <rPr>
        <vertAlign val="subscript"/>
        <sz val="11"/>
        <rFont val="Calibri"/>
        <family val="2"/>
        <scheme val="minor"/>
      </rPr>
      <t>x</t>
    </r>
  </si>
  <si>
    <r>
      <t>q</t>
    </r>
    <r>
      <rPr>
        <vertAlign val="subscript"/>
        <sz val="11"/>
        <rFont val="Calibri"/>
        <family val="2"/>
        <scheme val="minor"/>
      </rPr>
      <t>x</t>
    </r>
  </si>
  <si>
    <r>
      <t>p</t>
    </r>
    <r>
      <rPr>
        <vertAlign val="subscript"/>
        <sz val="11"/>
        <rFont val="Calibri"/>
        <family val="2"/>
        <scheme val="minor"/>
      </rPr>
      <t>x</t>
    </r>
  </si>
  <si>
    <r>
      <t>var(q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)</t>
    </r>
  </si>
  <si>
    <r>
      <t>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*1000</t>
    </r>
  </si>
  <si>
    <r>
      <t>SE (m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)</t>
    </r>
  </si>
  <si>
    <r>
      <t>N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*m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*(1-m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)/N</t>
    </r>
    <r>
      <rPr>
        <vertAlign val="subscript"/>
        <sz val="11"/>
        <rFont val="Calibri"/>
        <family val="2"/>
        <scheme val="minor"/>
      </rPr>
      <t>x</t>
    </r>
  </si>
  <si>
    <r>
      <t>q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=1-Πp</t>
    </r>
    <r>
      <rPr>
        <vertAlign val="subscript"/>
        <sz val="11"/>
        <rFont val="Calibri"/>
        <family val="2"/>
        <scheme val="minor"/>
      </rPr>
      <t>x</t>
    </r>
  </si>
  <si>
    <r>
      <t>SE (q</t>
    </r>
    <r>
      <rPr>
        <vertAlign val="subscript"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)</t>
    </r>
  </si>
  <si>
    <r>
      <t xml:space="preserve">Age Group </t>
    </r>
    <r>
      <rPr>
        <sz val="11"/>
        <color theme="1"/>
        <rFont val="Calibri"/>
        <family val="2"/>
        <scheme val="minor"/>
      </rPr>
      <t>(years)</t>
    </r>
  </si>
  <si>
    <r>
      <t xml:space="preserve">Population </t>
    </r>
    <r>
      <rPr>
        <sz val="11"/>
        <color theme="1"/>
        <rFont val="Calibri"/>
        <family val="2"/>
        <scheme val="minor"/>
      </rPr>
      <t>(or births)</t>
    </r>
  </si>
  <si>
    <r>
      <rPr>
        <sz val="11"/>
        <color theme="1"/>
        <rFont val="Calibri"/>
        <family val="2"/>
        <scheme val="minor"/>
      </rPr>
      <t>≥100 Norm Approx Binom</t>
    </r>
  </si>
  <si>
    <r>
      <t>Life Table q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</t>
    </r>
  </si>
  <si>
    <t>Poisson CIs</t>
  </si>
  <si>
    <r>
      <t>d</t>
    </r>
    <r>
      <rPr>
        <vertAlign val="subscript"/>
        <sz val="11"/>
        <rFont val="Calibri"/>
        <family val="2"/>
        <scheme val="minor"/>
      </rPr>
      <t>(adj)</t>
    </r>
  </si>
  <si>
    <r>
      <t>Life Table (q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) Method</t>
    </r>
  </si>
  <si>
    <t>Direct Age-Standardisation of Death Rates with 95% CIs:   Data Entry</t>
  </si>
  <si>
    <t>Direct Age-Standardisation of Death Rates with 95% CIs:   Results</t>
  </si>
  <si>
    <t>Direct Age-Standardisation of Death Rates with 95% CIs:   Calculations</t>
  </si>
  <si>
    <t>CIs for DASR</t>
  </si>
  <si>
    <t>Poisson (Dobson) Distribution</t>
  </si>
  <si>
    <t>Poisson 95% CIs for &lt;100 deaths</t>
  </si>
  <si>
    <t>Crude Death Rate (per 1,000 population)</t>
  </si>
  <si>
    <t>Death Rate (per 1,000 population)</t>
  </si>
  <si>
    <t>Directly Aged Standardised Rate (per 1,000 population)</t>
  </si>
  <si>
    <t>Unknown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</si>
</sst>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000"/>
    <numFmt numFmtId="165" formatCode="0.000000"/>
    <numFmt numFmtId="166" formatCode="0.000000000"/>
    <numFmt numFmtId="167" formatCode="0.00000"/>
    <numFmt numFmtId="168" formatCode="0.00000000"/>
    <numFmt numFmtId="169" formatCode="0.000"/>
    <numFmt numFmtId="170" formatCode="#,##0.0"/>
    <numFmt numFmtId="171" formatCode="0.0"/>
    <numFmt numFmtId="172" formatCode="0;\-0;;@"/>
  </numFmts>
  <fonts count="22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0"/>
      <name val="Bangla Sangam MN"/>
    </font>
    <font>
      <b/>
      <sz val="16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9"/>
      <color indexed="81"/>
      <name val="Calibri"/>
      <family val="2"/>
    </font>
    <font>
      <vertAlign val="superscript"/>
      <sz val="9"/>
      <color indexed="81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vertAlign val="subscript"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D809"/>
        <bgColor indexed="64"/>
      </patternFill>
    </fill>
    <fill>
      <patternFill patternType="solid">
        <fgColor rgb="FF187693"/>
        <bgColor indexed="64"/>
      </patternFill>
    </fill>
    <fill>
      <patternFill patternType="solid">
        <fgColor rgb="FFABDCEB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41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12">
    <xf numFmtId="0" fontId="0" fillId="0" borderId="0" xfId="0"/>
    <xf numFmtId="0" fontId="1" fillId="0" borderId="0" xfId="0" applyFont="1"/>
    <xf numFmtId="2" fontId="0" fillId="0" borderId="0" xfId="0" applyNumberFormat="1"/>
    <xf numFmtId="0" fontId="2" fillId="0" borderId="0" xfId="0" applyFont="1"/>
    <xf numFmtId="0" fontId="1" fillId="2" borderId="0" xfId="0" applyFont="1" applyFill="1"/>
    <xf numFmtId="0" fontId="0" fillId="0" borderId="0" xfId="0" applyFill="1"/>
    <xf numFmtId="0" fontId="2" fillId="0" borderId="0" xfId="0" applyFont="1" applyFill="1"/>
    <xf numFmtId="0" fontId="0" fillId="0" borderId="0" xfId="0" applyFont="1" applyFill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0" fillId="3" borderId="0" xfId="0" applyNumberFormat="1" applyFill="1" applyAlignment="1">
      <alignment horizontal="center"/>
    </xf>
    <xf numFmtId="0" fontId="0" fillId="0" borderId="0" xfId="0" applyFont="1"/>
    <xf numFmtId="2" fontId="0" fillId="0" borderId="0" xfId="0" applyNumberFormat="1" applyFill="1"/>
    <xf numFmtId="0" fontId="2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/>
    <xf numFmtId="0" fontId="0" fillId="4" borderId="0" xfId="0" applyFill="1"/>
    <xf numFmtId="0" fontId="0" fillId="5" borderId="0" xfId="0" applyFill="1"/>
    <xf numFmtId="0" fontId="6" fillId="5" borderId="0" xfId="0" applyFont="1" applyFill="1"/>
    <xf numFmtId="0" fontId="7" fillId="6" borderId="0" xfId="0" applyFont="1" applyFill="1"/>
    <xf numFmtId="0" fontId="7" fillId="0" borderId="0" xfId="0" applyFont="1" applyFill="1"/>
    <xf numFmtId="0" fontId="1" fillId="0" borderId="0" xfId="0" applyFont="1" applyFill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2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2" fillId="0" borderId="0" xfId="0" applyNumberFormat="1" applyFont="1"/>
    <xf numFmtId="0" fontId="0" fillId="0" borderId="1" xfId="0" applyFon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3" fontId="0" fillId="0" borderId="0" xfId="0" applyNumberFormat="1" applyFont="1"/>
    <xf numFmtId="0" fontId="0" fillId="0" borderId="1" xfId="0" applyFont="1" applyBorder="1"/>
    <xf numFmtId="2" fontId="0" fillId="0" borderId="1" xfId="0" applyNumberFormat="1" applyFont="1" applyFill="1" applyBorder="1" applyAlignment="1">
      <alignment horizontal="center"/>
    </xf>
    <xf numFmtId="166" fontId="0" fillId="0" borderId="0" xfId="0" applyNumberFormat="1" applyFont="1"/>
    <xf numFmtId="166" fontId="0" fillId="0" borderId="0" xfId="0" applyNumberFormat="1" applyFont="1" applyAlignment="1">
      <alignment horizontal="center"/>
    </xf>
    <xf numFmtId="169" fontId="0" fillId="0" borderId="0" xfId="0" applyNumberFormat="1" applyFont="1" applyAlignment="1">
      <alignment horizontal="center"/>
    </xf>
    <xf numFmtId="171" fontId="0" fillId="0" borderId="0" xfId="0" applyNumberFormat="1" applyFont="1"/>
    <xf numFmtId="2" fontId="0" fillId="0" borderId="0" xfId="0" applyNumberFormat="1" applyFont="1"/>
    <xf numFmtId="168" fontId="0" fillId="0" borderId="0" xfId="0" applyNumberFormat="1" applyFont="1"/>
    <xf numFmtId="0" fontId="0" fillId="0" borderId="2" xfId="0" applyFont="1" applyBorder="1"/>
    <xf numFmtId="168" fontId="0" fillId="0" borderId="2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1" fontId="0" fillId="0" borderId="2" xfId="0" applyNumberFormat="1" applyFont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169" fontId="0" fillId="0" borderId="0" xfId="0" applyNumberFormat="1" applyFont="1"/>
    <xf numFmtId="1" fontId="0" fillId="0" borderId="0" xfId="0" applyNumberFormat="1" applyFont="1"/>
    <xf numFmtId="165" fontId="0" fillId="0" borderId="0" xfId="0" applyNumberFormat="1" applyFont="1"/>
    <xf numFmtId="171" fontId="0" fillId="0" borderId="0" xfId="0" applyNumberFormat="1" applyFont="1" applyFill="1" applyAlignment="1">
      <alignment horizontal="center"/>
    </xf>
    <xf numFmtId="3" fontId="0" fillId="0" borderId="0" xfId="0" applyNumberFormat="1" applyFont="1" applyFill="1"/>
    <xf numFmtId="1" fontId="0" fillId="0" borderId="0" xfId="0" applyNumberFormat="1" applyFont="1" applyFill="1"/>
    <xf numFmtId="2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2" fontId="0" fillId="0" borderId="0" xfId="0" applyNumberFormat="1" applyFont="1" applyFill="1"/>
    <xf numFmtId="3" fontId="0" fillId="0" borderId="0" xfId="0" applyNumberFormat="1" applyFont="1" applyFill="1" applyAlignment="1">
      <alignment horizontal="center"/>
    </xf>
    <xf numFmtId="167" fontId="0" fillId="0" borderId="2" xfId="0" applyNumberFormat="1" applyFont="1" applyBorder="1"/>
    <xf numFmtId="171" fontId="0" fillId="0" borderId="0" xfId="0" applyNumberFormat="1" applyFont="1" applyFill="1"/>
    <xf numFmtId="2" fontId="1" fillId="0" borderId="0" xfId="0" applyNumberFormat="1" applyFont="1" applyFill="1"/>
    <xf numFmtId="165" fontId="1" fillId="0" borderId="0" xfId="0" applyNumberFormat="1" applyFont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/>
    <xf numFmtId="3" fontId="1" fillId="0" borderId="0" xfId="0" applyNumberFormat="1" applyFont="1" applyFill="1"/>
    <xf numFmtId="170" fontId="1" fillId="0" borderId="0" xfId="0" applyNumberFormat="1" applyFont="1" applyFill="1"/>
    <xf numFmtId="165" fontId="1" fillId="0" borderId="0" xfId="0" applyNumberFormat="1" applyFont="1" applyFill="1"/>
    <xf numFmtId="168" fontId="1" fillId="0" borderId="0" xfId="0" applyNumberFormat="1" applyFont="1" applyFill="1"/>
    <xf numFmtId="164" fontId="1" fillId="0" borderId="0" xfId="0" applyNumberFormat="1" applyFont="1" applyFill="1"/>
    <xf numFmtId="166" fontId="1" fillId="0" borderId="0" xfId="0" applyNumberFormat="1" applyFont="1"/>
    <xf numFmtId="0" fontId="1" fillId="0" borderId="0" xfId="0" quotePrefix="1" applyFont="1" applyAlignment="1">
      <alignment horizontal="center"/>
    </xf>
    <xf numFmtId="1" fontId="1" fillId="0" borderId="0" xfId="0" quotePrefix="1" applyNumberFormat="1" applyFont="1"/>
    <xf numFmtId="0" fontId="1" fillId="0" borderId="2" xfId="0" applyFont="1" applyBorder="1" applyAlignment="1">
      <alignment horizontal="center"/>
    </xf>
    <xf numFmtId="1" fontId="1" fillId="0" borderId="2" xfId="0" quotePrefix="1" applyNumberFormat="1" applyFont="1" applyBorder="1"/>
    <xf numFmtId="1" fontId="1" fillId="0" borderId="2" xfId="0" applyNumberFormat="1" applyFont="1" applyBorder="1"/>
    <xf numFmtId="0" fontId="1" fillId="0" borderId="2" xfId="0" applyFont="1" applyFill="1" applyBorder="1"/>
    <xf numFmtId="3" fontId="1" fillId="0" borderId="2" xfId="0" applyNumberFormat="1" applyFont="1" applyFill="1" applyBorder="1"/>
    <xf numFmtId="170" fontId="1" fillId="0" borderId="2" xfId="0" applyNumberFormat="1" applyFont="1" applyFill="1" applyBorder="1"/>
    <xf numFmtId="165" fontId="1" fillId="0" borderId="2" xfId="0" applyNumberFormat="1" applyFont="1" applyFill="1" applyBorder="1"/>
    <xf numFmtId="3" fontId="1" fillId="0" borderId="0" xfId="0" applyNumberFormat="1" applyFont="1"/>
    <xf numFmtId="1" fontId="1" fillId="0" borderId="1" xfId="0" applyNumberFormat="1" applyFont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3" fontId="1" fillId="0" borderId="2" xfId="0" applyNumberFormat="1" applyFont="1" applyBorder="1" applyAlignment="1">
      <alignment horizontal="center"/>
    </xf>
    <xf numFmtId="2" fontId="1" fillId="0" borderId="0" xfId="0" applyNumberFormat="1" applyFont="1"/>
    <xf numFmtId="1" fontId="1" fillId="0" borderId="1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quotePrefix="1" applyFont="1" applyFill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2" fontId="0" fillId="3" borderId="0" xfId="0" applyNumberFormat="1" applyFont="1" applyFill="1" applyAlignment="1">
      <alignment horizontal="center"/>
    </xf>
    <xf numFmtId="2" fontId="0" fillId="3" borderId="0" xfId="0" applyNumberFormat="1" applyFont="1" applyFill="1"/>
    <xf numFmtId="0" fontId="0" fillId="0" borderId="4" xfId="0" applyFont="1" applyFill="1" applyBorder="1" applyAlignment="1">
      <alignment horizontal="center"/>
    </xf>
    <xf numFmtId="2" fontId="0" fillId="3" borderId="4" xfId="0" applyNumberFormat="1" applyFont="1" applyFill="1" applyBorder="1" applyAlignment="1">
      <alignment horizontal="right"/>
    </xf>
    <xf numFmtId="0" fontId="0" fillId="0" borderId="4" xfId="0" applyFont="1" applyBorder="1"/>
    <xf numFmtId="0" fontId="0" fillId="0" borderId="4" xfId="0" applyFont="1" applyFill="1" applyBorder="1"/>
    <xf numFmtId="2" fontId="0" fillId="3" borderId="1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center"/>
    </xf>
    <xf numFmtId="2" fontId="0" fillId="3" borderId="4" xfId="0" applyNumberFormat="1" applyFont="1" applyFill="1" applyBorder="1"/>
    <xf numFmtId="2" fontId="0" fillId="3" borderId="1" xfId="0" applyNumberFormat="1" applyFont="1" applyFill="1" applyBorder="1"/>
    <xf numFmtId="0" fontId="0" fillId="0" borderId="1" xfId="0" applyFont="1" applyFill="1" applyBorder="1"/>
    <xf numFmtId="0" fontId="0" fillId="0" borderId="4" xfId="0" applyFont="1" applyBorder="1" applyAlignment="1">
      <alignment horizontal="center"/>
    </xf>
    <xf numFmtId="2" fontId="0" fillId="0" borderId="4" xfId="0" applyNumberFormat="1" applyFont="1" applyFill="1" applyBorder="1" applyAlignment="1">
      <alignment horizontal="center"/>
    </xf>
    <xf numFmtId="170" fontId="0" fillId="0" borderId="0" xfId="0" applyNumberFormat="1" applyFont="1"/>
    <xf numFmtId="170" fontId="0" fillId="0" borderId="2" xfId="0" applyNumberFormat="1" applyFont="1" applyBorder="1"/>
    <xf numFmtId="3" fontId="0" fillId="0" borderId="2" xfId="0" applyNumberFormat="1" applyFont="1" applyBorder="1"/>
    <xf numFmtId="0" fontId="20" fillId="0" borderId="0" xfId="0" applyFont="1" applyAlignment="1">
      <alignment horizontal="center"/>
    </xf>
    <xf numFmtId="3" fontId="1" fillId="0" borderId="2" xfId="0" applyNumberFormat="1" applyFont="1" applyFill="1" applyBorder="1" applyAlignment="1">
      <alignment horizontal="center"/>
    </xf>
    <xf numFmtId="0" fontId="0" fillId="0" borderId="0" xfId="0" applyFont="1" applyAlignment="1"/>
    <xf numFmtId="1" fontId="0" fillId="3" borderId="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2" xfId="0" applyFont="1" applyFill="1" applyBorder="1" applyAlignment="1">
      <alignment horizontal="right"/>
    </xf>
    <xf numFmtId="3" fontId="1" fillId="2" borderId="0" xfId="0" applyNumberFormat="1" applyFont="1" applyFill="1"/>
    <xf numFmtId="3" fontId="1" fillId="2" borderId="2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right"/>
    </xf>
    <xf numFmtId="0" fontId="2" fillId="0" borderId="0" xfId="0" applyFont="1" applyAlignment="1">
      <alignment horizontal="left"/>
    </xf>
    <xf numFmtId="2" fontId="1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70" fontId="0" fillId="0" borderId="0" xfId="0" applyNumberFormat="1" applyFont="1" applyFill="1"/>
    <xf numFmtId="0" fontId="16" fillId="0" borderId="0" xfId="0" applyFont="1"/>
    <xf numFmtId="0" fontId="0" fillId="0" borderId="1" xfId="0" applyFont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1" xfId="0" applyNumberFormat="1" applyFont="1" applyBorder="1"/>
    <xf numFmtId="165" fontId="0" fillId="0" borderId="1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2" borderId="0" xfId="0" applyFont="1" applyFill="1" applyAlignment="1">
      <alignment horizontal="left"/>
    </xf>
    <xf numFmtId="2" fontId="0" fillId="0" borderId="0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0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" fontId="0" fillId="0" borderId="0" xfId="0" applyNumberFormat="1" applyAlignment="1">
      <alignment horizontal="center" wrapText="1"/>
    </xf>
    <xf numFmtId="0" fontId="5" fillId="7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72" fontId="0" fillId="0" borderId="0" xfId="0" applyNumberFormat="1" applyAlignment="1">
      <alignment horizontal="left"/>
    </xf>
    <xf numFmtId="0" fontId="5" fillId="7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168" fontId="1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3" xfId="0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1" fontId="0" fillId="0" borderId="0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1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</cellXfs>
  <cellStyles count="4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32078649128401"/>
          <c:y val="1.7498264329861998E-2"/>
          <c:w val="0.82186902937710904"/>
          <c:h val="0.87898196596393197"/>
        </c:manualLayout>
      </c:layout>
      <c:lineChart>
        <c:grouping val="standard"/>
        <c:varyColors val="0"/>
        <c:ser>
          <c:idx val="0"/>
          <c:order val="0"/>
          <c:marker>
            <c:symbol val="square"/>
            <c:size val="3"/>
          </c:marker>
          <c:errBars>
            <c:errDir val="y"/>
            <c:errBarType val="both"/>
            <c:errValType val="cust"/>
            <c:noEndCap val="0"/>
            <c:plus>
              <c:numRef>
                <c:f>Calcs!$Y$15:$Y$32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1.1901927489109783</c:v>
                  </c:pt>
                  <c:pt idx="2">
                    <c:v>0.46060751551232954</c:v>
                  </c:pt>
                  <c:pt idx="3">
                    <c:v>0.51386622289654549</c:v>
                  </c:pt>
                  <c:pt idx="4">
                    <c:v>0.65592991260993128</c:v>
                  </c:pt>
                  <c:pt idx="5">
                    <c:v>0.75698740938323716</c:v>
                  </c:pt>
                  <c:pt idx="6">
                    <c:v>1.0279351026074786</c:v>
                  </c:pt>
                  <c:pt idx="7">
                    <c:v>1.2240070658698929</c:v>
                  </c:pt>
                  <c:pt idx="8">
                    <c:v>0.98441999109246292</c:v>
                  </c:pt>
                  <c:pt idx="9">
                    <c:v>1.2494253478182396</c:v>
                  </c:pt>
                  <c:pt idx="10">
                    <c:v>1.8106681322424008</c:v>
                  </c:pt>
                  <c:pt idx="11">
                    <c:v>1.6325013581539469</c:v>
                  </c:pt>
                  <c:pt idx="12">
                    <c:v>2.367440978132775</c:v>
                  </c:pt>
                  <c:pt idx="13">
                    <c:v>2.6431859609039776</c:v>
                  </c:pt>
                  <c:pt idx="14">
                    <c:v>3.9242210131406523</c:v>
                  </c:pt>
                  <c:pt idx="15">
                    <c:v>5.6433292795558145</c:v>
                  </c:pt>
                  <c:pt idx="16">
                    <c:v>6.4592937453986821</c:v>
                  </c:pt>
                </c:numCache>
              </c:numRef>
            </c:plus>
            <c:minus>
              <c:numRef>
                <c:f>Calcs!$X$15:$X$34</c:f>
                <c:numCache>
                  <c:formatCode>General</c:formatCode>
                  <c:ptCount val="20"/>
                  <c:pt idx="0">
                    <c:v>0</c:v>
                  </c:pt>
                  <c:pt idx="1">
                    <c:v>0.6237609940121891</c:v>
                  </c:pt>
                  <c:pt idx="2">
                    <c:v>0.12616961741841237</c:v>
                  </c:pt>
                  <c:pt idx="3">
                    <c:v>0.20175548594638848</c:v>
                  </c:pt>
                  <c:pt idx="4">
                    <c:v>0.33768064400157372</c:v>
                  </c:pt>
                  <c:pt idx="5">
                    <c:v>0.39672500052083304</c:v>
                  </c:pt>
                  <c:pt idx="6">
                    <c:v>0.55168709315352271</c:v>
                  </c:pt>
                  <c:pt idx="7">
                    <c:v>0.69839281394458008</c:v>
                  </c:pt>
                  <c:pt idx="8">
                    <c:v>0.57336313860197885</c:v>
                  </c:pt>
                  <c:pt idx="9">
                    <c:v>0.75953012863711122</c:v>
                  </c:pt>
                  <c:pt idx="10">
                    <c:v>1.1325242364570958</c:v>
                  </c:pt>
                  <c:pt idx="11">
                    <c:v>1.6325013581539469</c:v>
                  </c:pt>
                  <c:pt idx="12">
                    <c:v>2.367440978132775</c:v>
                  </c:pt>
                  <c:pt idx="13">
                    <c:v>2.6431859609039776</c:v>
                  </c:pt>
                  <c:pt idx="14">
                    <c:v>3.9242210131406523</c:v>
                  </c:pt>
                  <c:pt idx="15">
                    <c:v>5.6433292795558074</c:v>
                  </c:pt>
                  <c:pt idx="16">
                    <c:v>6.4592937453986963</c:v>
                  </c:pt>
                </c:numCache>
              </c:numRef>
            </c:minus>
          </c:errBars>
          <c:cat>
            <c:strRef>
              <c:f>'Data Entry'!$B$17:$B$36</c:f>
              <c:strCache>
                <c:ptCount val="19"/>
                <c:pt idx="1">
                  <c:v>&lt;5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≥75</c:v>
                </c:pt>
                <c:pt idx="18">
                  <c:v>Unknown Age</c:v>
                </c:pt>
              </c:strCache>
            </c:strRef>
          </c:cat>
          <c:val>
            <c:numRef>
              <c:f>Results!$G$15:$G$32</c:f>
              <c:numCache>
                <c:formatCode>0.00</c:formatCode>
                <c:ptCount val="18"/>
                <c:pt idx="1">
                  <c:v>1.6908785404547477</c:v>
                </c:pt>
                <c:pt idx="2">
                  <c:v>0.14177689098912988</c:v>
                </c:pt>
                <c:pt idx="3">
                  <c:v>0.26817424233777887</c:v>
                </c:pt>
                <c:pt idx="4">
                  <c:v>0.6137147505529893</c:v>
                </c:pt>
                <c:pt idx="5">
                  <c:v>1.0754340144415424</c:v>
                </c:pt>
                <c:pt idx="6">
                  <c:v>1.5129456325475632</c:v>
                </c:pt>
                <c:pt idx="7">
                  <c:v>2.4026034254995232</c:v>
                </c:pt>
                <c:pt idx="8">
                  <c:v>1.8890911470416774</c:v>
                </c:pt>
                <c:pt idx="9">
                  <c:v>2.6688600173908914</c:v>
                </c:pt>
                <c:pt idx="10">
                  <c:v>4.8423567108459444</c:v>
                </c:pt>
                <c:pt idx="11">
                  <c:v>9.1204974935178118</c:v>
                </c:pt>
                <c:pt idx="12">
                  <c:v>14.885684891622807</c:v>
                </c:pt>
                <c:pt idx="13">
                  <c:v>18.945276934531012</c:v>
                </c:pt>
                <c:pt idx="14">
                  <c:v>38.306604069820345</c:v>
                </c:pt>
                <c:pt idx="15">
                  <c:v>65.91523018788449</c:v>
                </c:pt>
                <c:pt idx="16">
                  <c:v>123.32812142272736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03552"/>
        <c:axId val="126505344"/>
      </c:lineChart>
      <c:catAx>
        <c:axId val="126503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2700000"/>
          <a:lstStyle/>
          <a:p>
            <a:pPr>
              <a:defRPr sz="900" baseline="0"/>
            </a:pPr>
            <a:endParaRPr lang="en-US"/>
          </a:p>
        </c:txPr>
        <c:crossAx val="126505344"/>
        <c:crossesAt val="0.01"/>
        <c:auto val="1"/>
        <c:lblAlgn val="ctr"/>
        <c:lblOffset val="100"/>
        <c:noMultiLvlLbl val="0"/>
      </c:catAx>
      <c:valAx>
        <c:axId val="126505344"/>
        <c:scaling>
          <c:logBase val="10"/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0" sourceLinked="0"/>
        <c:majorTickMark val="out"/>
        <c:minorTickMark val="none"/>
        <c:tickLblPos val="nextTo"/>
        <c:crossAx val="126503552"/>
        <c:crosses val="autoZero"/>
        <c:crossBetween val="midCat"/>
      </c:valAx>
    </c:plotArea>
    <c:plotVisOnly val="1"/>
    <c:dispBlanksAs val="span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38100</xdr:rowOff>
        </xdr:from>
        <xdr:to>
          <xdr:col>11</xdr:col>
          <xdr:colOff>609600</xdr:colOff>
          <xdr:row>29</xdr:row>
          <xdr:rowOff>106680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228600</xdr:colOff>
      <xdr:row>1</xdr:row>
      <xdr:rowOff>76200</xdr:rowOff>
    </xdr:from>
    <xdr:to>
      <xdr:col>11</xdr:col>
      <xdr:colOff>273685</xdr:colOff>
      <xdr:row>11</xdr:row>
      <xdr:rowOff>74930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254000"/>
          <a:ext cx="1696085" cy="17767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106680</xdr:rowOff>
        </xdr:from>
        <xdr:to>
          <xdr:col>11</xdr:col>
          <xdr:colOff>609600</xdr:colOff>
          <xdr:row>64</xdr:row>
          <xdr:rowOff>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121920</xdr:rowOff>
        </xdr:from>
        <xdr:to>
          <xdr:col>11</xdr:col>
          <xdr:colOff>609600</xdr:colOff>
          <xdr:row>81</xdr:row>
          <xdr:rowOff>38100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7620</xdr:rowOff>
        </xdr:from>
        <xdr:to>
          <xdr:col>11</xdr:col>
          <xdr:colOff>609600</xdr:colOff>
          <xdr:row>110</xdr:row>
          <xdr:rowOff>7620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111</xdr:row>
          <xdr:rowOff>114300</xdr:rowOff>
        </xdr:from>
        <xdr:to>
          <xdr:col>11</xdr:col>
          <xdr:colOff>609600</xdr:colOff>
          <xdr:row>121</xdr:row>
          <xdr:rowOff>152400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807720</xdr:colOff>
          <xdr:row>122</xdr:row>
          <xdr:rowOff>30480</xdr:rowOff>
        </xdr:from>
        <xdr:to>
          <xdr:col>12</xdr:col>
          <xdr:colOff>76200</xdr:colOff>
          <xdr:row>154</xdr:row>
          <xdr:rowOff>114300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807720</xdr:colOff>
          <xdr:row>154</xdr:row>
          <xdr:rowOff>114300</xdr:rowOff>
        </xdr:from>
        <xdr:to>
          <xdr:col>12</xdr:col>
          <xdr:colOff>76200</xdr:colOff>
          <xdr:row>187</xdr:row>
          <xdr:rowOff>45720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807720</xdr:colOff>
          <xdr:row>210</xdr:row>
          <xdr:rowOff>76200</xdr:rowOff>
        </xdr:from>
        <xdr:to>
          <xdr:col>12</xdr:col>
          <xdr:colOff>76200</xdr:colOff>
          <xdr:row>228</xdr:row>
          <xdr:rowOff>152400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807720</xdr:colOff>
          <xdr:row>229</xdr:row>
          <xdr:rowOff>7620</xdr:rowOff>
        </xdr:from>
        <xdr:to>
          <xdr:col>12</xdr:col>
          <xdr:colOff>76200</xdr:colOff>
          <xdr:row>257</xdr:row>
          <xdr:rowOff>38100</xdr:rowOff>
        </xdr:to>
        <xdr:sp macro="" textlink="">
          <xdr:nvSpPr>
            <xdr:cNvPr id="7178" name="Object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293</xdr:row>
          <xdr:rowOff>38100</xdr:rowOff>
        </xdr:from>
        <xdr:to>
          <xdr:col>12</xdr:col>
          <xdr:colOff>182880</xdr:colOff>
          <xdr:row>314</xdr:row>
          <xdr:rowOff>160020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258</xdr:row>
          <xdr:rowOff>160020</xdr:rowOff>
        </xdr:from>
        <xdr:to>
          <xdr:col>12</xdr:col>
          <xdr:colOff>152400</xdr:colOff>
          <xdr:row>291</xdr:row>
          <xdr:rowOff>76200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807720</xdr:colOff>
          <xdr:row>186</xdr:row>
          <xdr:rowOff>45720</xdr:rowOff>
        </xdr:from>
        <xdr:to>
          <xdr:col>12</xdr:col>
          <xdr:colOff>76200</xdr:colOff>
          <xdr:row>210</xdr:row>
          <xdr:rowOff>45720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2" name="Text Box 38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3" name="Text Box 159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4" name="Text Box 901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5" name="Text Box 902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6" name="Text Box 903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7" name="Text Box 904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8" name="Text Box 905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9" name="Text Box 906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0" name="Text Box 907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1" name="Text Box 908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2" name="Text Box 909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3" name="Text Box 910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4" name="Text Box 911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5" name="Text Box 912"/>
        <xdr:cNvSpPr txBox="1">
          <a:spLocks noChangeArrowheads="1"/>
        </xdr:cNvSpPr>
      </xdr:nvSpPr>
      <xdr:spPr bwMode="auto">
        <a:xfrm>
          <a:off x="5095875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6" name="Text Box 913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00025"/>
    <xdr:sp macro="" textlink="">
      <xdr:nvSpPr>
        <xdr:cNvPr id="17" name="Text Box 914"/>
        <xdr:cNvSpPr txBox="1">
          <a:spLocks noChangeArrowheads="1"/>
        </xdr:cNvSpPr>
      </xdr:nvSpPr>
      <xdr:spPr bwMode="auto">
        <a:xfrm>
          <a:off x="5095875" y="157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19" name="Text Box 38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20" name="Text Box 159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21" name="Text Box 901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22" name="Text Box 902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23" name="Text Box 903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24" name="Text Box 904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25" name="Text Box 905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26" name="Text Box 906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27" name="Text Box 907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28" name="Text Box 908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29" name="Text Box 909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30" name="Text Box 910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31" name="Text Box 911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27</xdr:row>
      <xdr:rowOff>28575</xdr:rowOff>
    </xdr:from>
    <xdr:ext cx="76200" cy="200025"/>
    <xdr:sp macro="" textlink="">
      <xdr:nvSpPr>
        <xdr:cNvPr id="32" name="Text Box 912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33" name="Text Box 913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20</xdr:row>
      <xdr:rowOff>28575</xdr:rowOff>
    </xdr:from>
    <xdr:ext cx="76200" cy="200025"/>
    <xdr:sp macro="" textlink="">
      <xdr:nvSpPr>
        <xdr:cNvPr id="34" name="Text Box 914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36" name="Text Box 38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37" name="Text Box 159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38" name="Text Box 901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39" name="Text Box 902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0" name="Text Box 903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1" name="Text Box 904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42" name="Text Box 905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43" name="Text Box 906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4" name="Text Box 907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5" name="Text Box 908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46" name="Text Box 909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47" name="Text Box 910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8" name="Text Box 911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26</xdr:row>
      <xdr:rowOff>28575</xdr:rowOff>
    </xdr:from>
    <xdr:ext cx="76200" cy="200025"/>
    <xdr:sp macro="" textlink="">
      <xdr:nvSpPr>
        <xdr:cNvPr id="49" name="Text Box 912"/>
        <xdr:cNvSpPr txBox="1">
          <a:spLocks noChangeArrowheads="1"/>
        </xdr:cNvSpPr>
      </xdr:nvSpPr>
      <xdr:spPr bwMode="auto">
        <a:xfrm>
          <a:off x="50958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50" name="Text Box 913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19</xdr:row>
      <xdr:rowOff>28575</xdr:rowOff>
    </xdr:from>
    <xdr:ext cx="76200" cy="200025"/>
    <xdr:sp macro="" textlink="">
      <xdr:nvSpPr>
        <xdr:cNvPr id="51" name="Text Box 914"/>
        <xdr:cNvSpPr txBox="1">
          <a:spLocks noChangeArrowheads="1"/>
        </xdr:cNvSpPr>
      </xdr:nvSpPr>
      <xdr:spPr bwMode="auto">
        <a:xfrm>
          <a:off x="50958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3" name="Text Box 159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4" name="Text Box 901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5" name="Text Box 902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6" name="Text Box 903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7" name="Text Box 904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8" name="Text Box 905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59" name="Text Box 906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0" name="Text Box 907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1" name="Text Box 908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2" name="Text Box 909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3" name="Text Box 910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4" name="Text Box 911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5" name="Text Box 912"/>
        <xdr:cNvSpPr txBox="1">
          <a:spLocks noChangeArrowheads="1"/>
        </xdr:cNvSpPr>
      </xdr:nvSpPr>
      <xdr:spPr bwMode="auto">
        <a:xfrm>
          <a:off x="1543050" y="368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6" name="Text Box 913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7" name="Text Box 914"/>
        <xdr:cNvSpPr txBox="1">
          <a:spLocks noChangeArrowheads="1"/>
        </xdr:cNvSpPr>
      </xdr:nvSpPr>
      <xdr:spPr bwMode="auto">
        <a:xfrm>
          <a:off x="1543050" y="231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69" name="Text Box 38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0" name="Text Box 159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1" name="Text Box 901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2" name="Text Box 902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3" name="Text Box 903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4" name="Text Box 904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5" name="Text Box 905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6" name="Text Box 906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7" name="Text Box 907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8" name="Text Box 908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79" name="Text Box 909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80" name="Text Box 910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81" name="Text Box 911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82" name="Text Box 912"/>
        <xdr:cNvSpPr txBox="1">
          <a:spLocks noChangeArrowheads="1"/>
        </xdr:cNvSpPr>
      </xdr:nvSpPr>
      <xdr:spPr bwMode="auto">
        <a:xfrm>
          <a:off x="5162550" y="1799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83" name="Text Box 913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219075</xdr:colOff>
      <xdr:row>15</xdr:row>
      <xdr:rowOff>0</xdr:rowOff>
    </xdr:from>
    <xdr:ext cx="76200" cy="200025"/>
    <xdr:sp macro="" textlink="">
      <xdr:nvSpPr>
        <xdr:cNvPr id="84" name="Text Box 914"/>
        <xdr:cNvSpPr txBox="1">
          <a:spLocks noChangeArrowheads="1"/>
        </xdr:cNvSpPr>
      </xdr:nvSpPr>
      <xdr:spPr bwMode="auto">
        <a:xfrm>
          <a:off x="5162550" y="166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5</xdr:col>
      <xdr:colOff>426720</xdr:colOff>
      <xdr:row>37</xdr:row>
      <xdr:rowOff>132080</xdr:rowOff>
    </xdr:from>
    <xdr:to>
      <xdr:col>10</xdr:col>
      <xdr:colOff>850900</xdr:colOff>
      <xdr:row>52</xdr:row>
      <xdr:rowOff>165100</xdr:rowOff>
    </xdr:to>
    <xdr:sp macro="" textlink="">
      <xdr:nvSpPr>
        <xdr:cNvPr id="18" name="TextBox 17"/>
        <xdr:cNvSpPr txBox="1"/>
      </xdr:nvSpPr>
      <xdr:spPr>
        <a:xfrm>
          <a:off x="3830320" y="7129780"/>
          <a:ext cx="3916680" cy="2700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World Health Organization's new world standard population (expressed as a % for the years 2000-2025) as described in:</a:t>
          </a:r>
        </a:p>
        <a:p>
          <a:endParaRPr lang="en-US" sz="1100"/>
        </a:p>
        <a:p>
          <a:r>
            <a:rPr lang="en-US" sz="1100"/>
            <a:t>WHO. (2001). Discussion paper 31: Age standardization of rates: a new WHO standard. Retrieved from http://www.who.int/healthinfo/paper31.pdf.</a:t>
          </a:r>
        </a:p>
        <a:p>
          <a:endParaRPr lang="en-US" sz="1100"/>
        </a:p>
        <a:p>
          <a:r>
            <a:rPr lang="en-US" sz="1100"/>
            <a:t>This is the default population against which the entered data is standardised</a:t>
          </a:r>
          <a:r>
            <a:rPr lang="en-US" sz="1100" baseline="0"/>
            <a:t>. An alternative population may be used against which the entered data can be compared.</a:t>
          </a:r>
          <a:endParaRPr lang="en-US" sz="1100"/>
        </a:p>
      </xdr:txBody>
    </xdr:sp>
    <xdr:clientData/>
  </xdr:twoCellAnchor>
  <xdr:twoCellAnchor>
    <xdr:from>
      <xdr:col>13</xdr:col>
      <xdr:colOff>0</xdr:colOff>
      <xdr:row>2</xdr:row>
      <xdr:rowOff>25400</xdr:rowOff>
    </xdr:from>
    <xdr:to>
      <xdr:col>22</xdr:col>
      <xdr:colOff>25400</xdr:colOff>
      <xdr:row>6</xdr:row>
      <xdr:rowOff>63500</xdr:rowOff>
    </xdr:to>
    <xdr:sp macro="" textlink="">
      <xdr:nvSpPr>
        <xdr:cNvPr id="35" name="TextBox 34"/>
        <xdr:cNvSpPr txBox="1"/>
      </xdr:nvSpPr>
      <xdr:spPr>
        <a:xfrm>
          <a:off x="9131300" y="736600"/>
          <a:ext cx="6159500" cy="66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Direct Age-Standardisation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600075</xdr:colOff>
      <xdr:row>12</xdr:row>
      <xdr:rowOff>0</xdr:rowOff>
    </xdr:from>
    <xdr:to>
      <xdr:col>18</xdr:col>
      <xdr:colOff>38100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3" name="Text Box 159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4" name="Text Box 901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5" name="Text Box 902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6" name="Text Box 903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7" name="Text Box 904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8" name="Text Box 905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9" name="Text Box 906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0" name="Text Box 907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1" name="Text Box 908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2" name="Text Box 909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3" name="Text Box 910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4" name="Text Box 911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5" name="Text Box 912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6" name="Text Box 913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7" name="Text Box 914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8" name="Text Box 38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19" name="Text Box 159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0" name="Text Box 901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1" name="Text Box 902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2" name="Text Box 903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3" name="Text Box 904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4" name="Text Box 905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5" name="Text Box 906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6" name="Text Box 907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7" name="Text Box 908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8" name="Text Box 909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29" name="Text Box 910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30" name="Text Box 911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31" name="Text Box 912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32" name="Text Box 913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219075</xdr:colOff>
      <xdr:row>38</xdr:row>
      <xdr:rowOff>0</xdr:rowOff>
    </xdr:from>
    <xdr:ext cx="76200" cy="200025"/>
    <xdr:sp macro="" textlink="">
      <xdr:nvSpPr>
        <xdr:cNvPr id="33" name="Text Box 914"/>
        <xdr:cNvSpPr txBox="1">
          <a:spLocks noChangeArrowheads="1"/>
        </xdr:cNvSpPr>
      </xdr:nvSpPr>
      <xdr:spPr bwMode="auto">
        <a:xfrm>
          <a:off x="1543050" y="571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13</xdr:col>
      <xdr:colOff>0</xdr:colOff>
      <xdr:row>2</xdr:row>
      <xdr:rowOff>38100</xdr:rowOff>
    </xdr:from>
    <xdr:to>
      <xdr:col>21</xdr:col>
      <xdr:colOff>381000</xdr:colOff>
      <xdr:row>6</xdr:row>
      <xdr:rowOff>76200</xdr:rowOff>
    </xdr:to>
    <xdr:sp macro="" textlink="">
      <xdr:nvSpPr>
        <xdr:cNvPr id="35" name="TextBox 34"/>
        <xdr:cNvSpPr txBox="1"/>
      </xdr:nvSpPr>
      <xdr:spPr>
        <a:xfrm>
          <a:off x="9017000" y="749300"/>
          <a:ext cx="6159500" cy="66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Direct Age-Standardisation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" name="Text Box 1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" name="Text Box 1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" name="Text Box 1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" name="Text Box 1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" name="Text Box 1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" name="Text Box 1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" name="Text Box 1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" name="Text Box 1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" name="Text Box 1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" name="Text Box 1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" name="Text Box 1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" name="Text Box 1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" name="Text Box 1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" name="Text Box 1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" name="Text Box 1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" name="Text Box 1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" name="Text Box 1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" name="Text Box 1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" name="Text Box 1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" name="Text Box 1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" name="Text Box 1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" name="Text Box 1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" name="Text Box 1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" name="Text Box 1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" name="Text Box 1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" name="Text Box 1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" name="Text Box 1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" name="Text Box 1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" name="Text Box 1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" name="Text Box 1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" name="Text Box 1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" name="Text Box 1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" name="Text Box 1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" name="Text Box 1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" name="Text Box 1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5" name="Text Box 1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6" name="Text Box 1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7" name="Text Box 1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8" name="Text Box 1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9" name="Text Box 159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0" name="Text Box 2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1" name="Text Box 2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2" name="Text Box 2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3" name="Text Box 2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4" name="Text Box 2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5" name="Text Box 2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6" name="Text Box 2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7" name="Text Box 2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8" name="Text Box 2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89" name="Text Box 2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0" name="Text Box 2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1" name="Text Box 2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2" name="Text Box 2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3" name="Text Box 2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4" name="Text Box 2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5" name="Text Box 2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6" name="Text Box 2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7" name="Text Box 2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8" name="Text Box 2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99" name="Text Box 2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0" name="Text Box 2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1" name="Text Box 2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2" name="Text Box 2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3" name="Text Box 2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4" name="Text Box 2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5" name="Text Box 2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6" name="Text Box 2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7" name="Text Box 2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8" name="Text Box 2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09" name="Text Box 2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0" name="Text Box 2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1" name="Text Box 2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2" name="Text Box 2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3" name="Text Box 2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4" name="Text Box 2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5" name="Text Box 2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6" name="Text Box 2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7" name="Text Box 2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8" name="Text Box 2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19" name="Text Box 2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0" name="Text Box 2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1" name="Text Box 2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2" name="Text Box 2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3" name="Text Box 2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4" name="Text Box 2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5" name="Text Box 2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6" name="Text Box 2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7" name="Text Box 2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8" name="Text Box 2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29" name="Text Box 2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0" name="Text Box 2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1" name="Text Box 2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2" name="Text Box 2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3" name="Text Box 2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4" name="Text Box 2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5" name="Text Box 2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6" name="Text Box 2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7" name="Text Box 2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8" name="Text Box 2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39" name="Text Box 3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0" name="Text Box 3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1" name="Text Box 3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2" name="Text Box 3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3" name="Text Box 3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4" name="Text Box 3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5" name="Text Box 3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6" name="Text Box 3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7" name="Text Box 3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8" name="Text Box 3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49" name="Text Box 3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0" name="Text Box 3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1" name="Text Box 3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2" name="Text Box 3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3" name="Text Box 3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4" name="Text Box 3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5" name="Text Box 3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6" name="Text Box 3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7" name="Text Box 3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8" name="Text Box 3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59" name="Text Box 3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0" name="Text Box 3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1" name="Text Box 3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2" name="Text Box 3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3" name="Text Box 3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4" name="Text Box 3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5" name="Text Box 3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6" name="Text Box 3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7" name="Text Box 3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8" name="Text Box 3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69" name="Text Box 3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0" name="Text Box 3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1" name="Text Box 3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2" name="Text Box 3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3" name="Text Box 3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4" name="Text Box 3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5" name="Text Box 3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6" name="Text Box 3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7" name="Text Box 3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8" name="Text Box 3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79" name="Text Box 3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0" name="Text Box 3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1" name="Text Box 3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2" name="Text Box 3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3" name="Text Box 3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4" name="Text Box 3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5" name="Text Box 3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6" name="Text Box 3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7" name="Text Box 3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8" name="Text Box 3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89" name="Text Box 3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0" name="Text Box 3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1" name="Text Box 3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2" name="Text Box 3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3" name="Text Box 3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4" name="Text Box 3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5" name="Text Box 3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6" name="Text Box 3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7" name="Text Box 3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8" name="Text Box 3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199" name="Text Box 3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0" name="Text Box 3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1" name="Text Box 3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2" name="Text Box 3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3" name="Text Box 3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4" name="Text Box 3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5" name="Text Box 3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6" name="Text Box 3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7" name="Text Box 3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8" name="Text Box 3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09" name="Text Box 3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0" name="Text Box 3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1" name="Text Box 3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2" name="Text Box 3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3" name="Text Box 3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4" name="Text Box 3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5" name="Text Box 3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6" name="Text Box 3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7" name="Text Box 3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8" name="Text Box 3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19" name="Text Box 3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0" name="Text Box 3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1" name="Text Box 3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2" name="Text Box 3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3" name="Text Box 3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4" name="Text Box 3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5" name="Text Box 3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6" name="Text Box 3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7" name="Text Box 3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8" name="Text Box 3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29" name="Text Box 3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0" name="Text Box 3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1" name="Text Box 3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2" name="Text Box 3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3" name="Text Box 3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4" name="Text Box 3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5" name="Text Box 3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6" name="Text Box 3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7" name="Text Box 3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8" name="Text Box 3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39" name="Text Box 4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0" name="Text Box 4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1" name="Text Box 4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2" name="Text Box 4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3" name="Text Box 4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4" name="Text Box 4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5" name="Text Box 4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6" name="Text Box 4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7" name="Text Box 4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8" name="Text Box 4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49" name="Text Box 4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0" name="Text Box 4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1" name="Text Box 4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2" name="Text Box 4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3" name="Text Box 4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4" name="Text Box 4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5" name="Text Box 4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6" name="Text Box 4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7" name="Text Box 4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8" name="Text Box 4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59" name="Text Box 4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0" name="Text Box 4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1" name="Text Box 4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2" name="Text Box 4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3" name="Text Box 4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4" name="Text Box 4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5" name="Text Box 4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6" name="Text Box 4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7" name="Text Box 4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8" name="Text Box 4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69" name="Text Box 4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0" name="Text Box 4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1" name="Text Box 4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2" name="Text Box 4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3" name="Text Box 4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4" name="Text Box 4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5" name="Text Box 4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6" name="Text Box 4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7" name="Text Box 4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8" name="Text Box 4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79" name="Text Box 4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0" name="Text Box 4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1" name="Text Box 4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2" name="Text Box 4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3" name="Text Box 4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4" name="Text Box 4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5" name="Text Box 4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6" name="Text Box 4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7" name="Text Box 4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8" name="Text Box 4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89" name="Text Box 4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0" name="Text Box 4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1" name="Text Box 4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2" name="Text Box 4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3" name="Text Box 4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4" name="Text Box 4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5" name="Text Box 4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6" name="Text Box 4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7" name="Text Box 4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8" name="Text Box 4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299" name="Text Box 4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0" name="Text Box 4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1" name="Text Box 4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2" name="Text Box 4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3" name="Text Box 4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4" name="Text Box 4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5" name="Text Box 4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6" name="Text Box 4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7" name="Text Box 4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8" name="Text Box 4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09" name="Text Box 4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0" name="Text Box 4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1" name="Text Box 4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2" name="Text Box 4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3" name="Text Box 4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4" name="Text Box 4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5" name="Text Box 4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6" name="Text Box 4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7" name="Text Box 4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8" name="Text Box 4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19" name="Text Box 4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0" name="Text Box 4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1" name="Text Box 4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2" name="Text Box 4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3" name="Text Box 4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4" name="Text Box 4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5" name="Text Box 4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6" name="Text Box 4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7" name="Text Box 4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8" name="Text Box 4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29" name="Text Box 4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0" name="Text Box 4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1" name="Text Box 4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2" name="Text Box 4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3" name="Text Box 4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4" name="Text Box 4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5" name="Text Box 4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6" name="Text Box 4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7" name="Text Box 4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8" name="Text Box 4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39" name="Text Box 5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0" name="Text Box 5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1" name="Text Box 5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2" name="Text Box 5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3" name="Text Box 5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4" name="Text Box 5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5" name="Text Box 5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6" name="Text Box 5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7" name="Text Box 5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8" name="Text Box 5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49" name="Text Box 5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0" name="Text Box 5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1" name="Text Box 5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2" name="Text Box 5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3" name="Text Box 5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4" name="Text Box 5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5" name="Text Box 5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6" name="Text Box 5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7" name="Text Box 5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8" name="Text Box 5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59" name="Text Box 5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0" name="Text Box 5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1" name="Text Box 5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2" name="Text Box 5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3" name="Text Box 5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4" name="Text Box 5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5" name="Text Box 5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6" name="Text Box 5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7" name="Text Box 5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8" name="Text Box 5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69" name="Text Box 5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0" name="Text Box 5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1" name="Text Box 5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2" name="Text Box 5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3" name="Text Box 5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4" name="Text Box 5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5" name="Text Box 5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6" name="Text Box 5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7" name="Text Box 5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8" name="Text Box 5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79" name="Text Box 5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0" name="Text Box 5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1" name="Text Box 5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2" name="Text Box 5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3" name="Text Box 5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4" name="Text Box 5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5" name="Text Box 5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6" name="Text Box 5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7" name="Text Box 5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8" name="Text Box 5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89" name="Text Box 5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0" name="Text Box 5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1" name="Text Box 5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2" name="Text Box 5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3" name="Text Box 5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4" name="Text Box 5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5" name="Text Box 5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6" name="Text Box 5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7" name="Text Box 5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8" name="Text Box 5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399" name="Text Box 5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0" name="Text Box 5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1" name="Text Box 5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2" name="Text Box 5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3" name="Text Box 5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4" name="Text Box 5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5" name="Text Box 5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6" name="Text Box 5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7" name="Text Box 5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8" name="Text Box 5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09" name="Text Box 5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0" name="Text Box 5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1" name="Text Box 5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2" name="Text Box 5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3" name="Text Box 5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4" name="Text Box 5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5" name="Text Box 5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6" name="Text Box 5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7" name="Text Box 5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8" name="Text Box 5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19" name="Text Box 5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0" name="Text Box 5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1" name="Text Box 5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2" name="Text Box 5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3" name="Text Box 5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4" name="Text Box 5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5" name="Text Box 5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6" name="Text Box 5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7" name="Text Box 5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8" name="Text Box 5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29" name="Text Box 5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0" name="Text Box 5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1" name="Text Box 5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2" name="Text Box 5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3" name="Text Box 5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4" name="Text Box 5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5" name="Text Box 5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6" name="Text Box 5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7" name="Text Box 5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8" name="Text Box 5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39" name="Text Box 6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0" name="Text Box 6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1" name="Text Box 6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2" name="Text Box 6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3" name="Text Box 6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4" name="Text Box 6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5" name="Text Box 6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6" name="Text Box 6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7" name="Text Box 6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8" name="Text Box 6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49" name="Text Box 6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0" name="Text Box 6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1" name="Text Box 6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2" name="Text Box 6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3" name="Text Box 6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4" name="Text Box 6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5" name="Text Box 6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6" name="Text Box 6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7" name="Text Box 6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8" name="Text Box 6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59" name="Text Box 6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0" name="Text Box 6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1" name="Text Box 6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2" name="Text Box 6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3" name="Text Box 6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4" name="Text Box 6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5" name="Text Box 6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6" name="Text Box 6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7" name="Text Box 6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8" name="Text Box 6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69" name="Text Box 6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0" name="Text Box 6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1" name="Text Box 6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2" name="Text Box 6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3" name="Text Box 6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4" name="Text Box 6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5" name="Text Box 6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6" name="Text Box 6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7" name="Text Box 6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8" name="Text Box 6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79" name="Text Box 6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0" name="Text Box 6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1" name="Text Box 6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2" name="Text Box 6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3" name="Text Box 6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4" name="Text Box 6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5" name="Text Box 6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6" name="Text Box 6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7" name="Text Box 6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8" name="Text Box 6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89" name="Text Box 6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0" name="Text Box 6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1" name="Text Box 6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2" name="Text Box 6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3" name="Text Box 6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4" name="Text Box 6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5" name="Text Box 6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6" name="Text Box 6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7" name="Text Box 6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8" name="Text Box 6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499" name="Text Box 6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0" name="Text Box 6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1" name="Text Box 6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2" name="Text Box 6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3" name="Text Box 6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4" name="Text Box 6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5" name="Text Box 6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6" name="Text Box 6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7" name="Text Box 6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8" name="Text Box 6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09" name="Text Box 6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0" name="Text Box 6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1" name="Text Box 6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2" name="Text Box 6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3" name="Text Box 6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4" name="Text Box 6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5" name="Text Box 6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6" name="Text Box 6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7" name="Text Box 6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8" name="Text Box 6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19" name="Text Box 6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0" name="Text Box 6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1" name="Text Box 6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2" name="Text Box 6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3" name="Text Box 6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4" name="Text Box 6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5" name="Text Box 6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6" name="Text Box 6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7" name="Text Box 6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8" name="Text Box 6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29" name="Text Box 6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0" name="Text Box 6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1" name="Text Box 6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2" name="Text Box 6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3" name="Text Box 6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4" name="Text Box 6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5" name="Text Box 6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6" name="Text Box 6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7" name="Text Box 6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8" name="Text Box 6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39" name="Text Box 7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0" name="Text Box 7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1" name="Text Box 7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2" name="Text Box 7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3" name="Text Box 7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4" name="Text Box 7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5" name="Text Box 7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6" name="Text Box 7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7" name="Text Box 7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8" name="Text Box 7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49" name="Text Box 7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0" name="Text Box 7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1" name="Text Box 7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2" name="Text Box 7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3" name="Text Box 7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4" name="Text Box 7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5" name="Text Box 7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6" name="Text Box 7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7" name="Text Box 7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8" name="Text Box 7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59" name="Text Box 7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0" name="Text Box 7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1" name="Text Box 7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2" name="Text Box 7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3" name="Text Box 7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4" name="Text Box 7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5" name="Text Box 7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6" name="Text Box 7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7" name="Text Box 7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8" name="Text Box 7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69" name="Text Box 7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0" name="Text Box 7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1" name="Text Box 7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2" name="Text Box 7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3" name="Text Box 7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4" name="Text Box 7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5" name="Text Box 7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6" name="Text Box 7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7" name="Text Box 7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8" name="Text Box 7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79" name="Text Box 7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0" name="Text Box 7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1" name="Text Box 7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2" name="Text Box 7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3" name="Text Box 7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4" name="Text Box 7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5" name="Text Box 7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6" name="Text Box 7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7" name="Text Box 7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8" name="Text Box 7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89" name="Text Box 7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0" name="Text Box 7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1" name="Text Box 7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2" name="Text Box 7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3" name="Text Box 7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4" name="Text Box 7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5" name="Text Box 7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6" name="Text Box 7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7" name="Text Box 7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8" name="Text Box 7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599" name="Text Box 7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0" name="Text Box 7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1" name="Text Box 7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2" name="Text Box 7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3" name="Text Box 7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4" name="Text Box 7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5" name="Text Box 7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6" name="Text Box 7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7" name="Text Box 7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8" name="Text Box 7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09" name="Text Box 7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0" name="Text Box 7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1" name="Text Box 7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2" name="Text Box 7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3" name="Text Box 7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4" name="Text Box 7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5" name="Text Box 7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6" name="Text Box 7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7" name="Text Box 7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8" name="Text Box 7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19" name="Text Box 7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0" name="Text Box 7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1" name="Text Box 7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2" name="Text Box 7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3" name="Text Box 7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4" name="Text Box 7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5" name="Text Box 7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6" name="Text Box 7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7" name="Text Box 7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8" name="Text Box 7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29" name="Text Box 7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0" name="Text Box 7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1" name="Text Box 7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2" name="Text Box 7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3" name="Text Box 7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4" name="Text Box 7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5" name="Text Box 7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6" name="Text Box 7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7" name="Text Box 7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8" name="Text Box 7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39" name="Text Box 8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0" name="Text Box 8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1" name="Text Box 8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2" name="Text Box 8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3" name="Text Box 8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4" name="Text Box 8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5" name="Text Box 8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6" name="Text Box 8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7" name="Text Box 8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8" name="Text Box 8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49" name="Text Box 8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0" name="Text Box 8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1" name="Text Box 8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2" name="Text Box 8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3" name="Text Box 8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4" name="Text Box 8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5" name="Text Box 8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6" name="Text Box 8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7" name="Text Box 8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8" name="Text Box 8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59" name="Text Box 8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0" name="Text Box 8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1" name="Text Box 8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2" name="Text Box 8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3" name="Text Box 8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4" name="Text Box 8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5" name="Text Box 8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6" name="Text Box 8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7" name="Text Box 8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8" name="Text Box 8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69" name="Text Box 8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0" name="Text Box 8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1" name="Text Box 8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2" name="Text Box 8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3" name="Text Box 8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4" name="Text Box 8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5" name="Text Box 8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6" name="Text Box 8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7" name="Text Box 8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8" name="Text Box 8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79" name="Text Box 8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0" name="Text Box 8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1" name="Text Box 8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2" name="Text Box 8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3" name="Text Box 8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4" name="Text Box 8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5" name="Text Box 8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6" name="Text Box 8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7" name="Text Box 8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8" name="Text Box 8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89" name="Text Box 8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0" name="Text Box 8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1" name="Text Box 8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2" name="Text Box 8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3" name="Text Box 8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4" name="Text Box 8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5" name="Text Box 8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6" name="Text Box 8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7" name="Text Box 8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8" name="Text Box 8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699" name="Text Box 8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0" name="Text Box 8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1" name="Text Box 8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2" name="Text Box 8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3" name="Text Box 8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4" name="Text Box 8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5" name="Text Box 8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6" name="Text Box 8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7" name="Text Box 8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8" name="Text Box 8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09" name="Text Box 8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0" name="Text Box 8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1" name="Text Box 8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2" name="Text Box 8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3" name="Text Box 8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4" name="Text Box 8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5" name="Text Box 8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6" name="Text Box 8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7" name="Text Box 8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8" name="Text Box 8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19" name="Text Box 8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0" name="Text Box 8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1" name="Text Box 8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2" name="Text Box 8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3" name="Text Box 8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4" name="Text Box 8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5" name="Text Box 8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6" name="Text Box 8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7" name="Text Box 8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8" name="Text Box 8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29" name="Text Box 8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0" name="Text Box 8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1" name="Text Box 8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2" name="Text Box 8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3" name="Text Box 8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4" name="Text Box 8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5" name="Text Box 8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6" name="Text Box 8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7" name="Text Box 8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8" name="Text Box 8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39" name="Text Box 9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0" name="Text Box 901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1" name="Text Box 902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2" name="Text Box 903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3" name="Text Box 904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4" name="Text Box 905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5" name="Text Box 906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6" name="Text Box 907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7" name="Text Box 908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8" name="Text Box 909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49" name="Text Box 910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50" name="Text Box 911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51" name="Text Box 912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52" name="Text Box 913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10</xdr:row>
      <xdr:rowOff>0</xdr:rowOff>
    </xdr:from>
    <xdr:ext cx="76200" cy="200025"/>
    <xdr:sp macro="" textlink="">
      <xdr:nvSpPr>
        <xdr:cNvPr id="753" name="Text Box 914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4" name="Text Box 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5" name="Text Box 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6" name="Text Box 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7" name="Text Box 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0" name="Text Box 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1" name="Text Box 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2" name="Text Box 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3" name="Text Box 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4" name="Text Box 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5" name="Text Box 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6" name="Text Box 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7" name="Text Box 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8" name="Text Box 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69" name="Text Box 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0" name="Text Box 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1" name="Text Box 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2" name="Text Box 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3" name="Text Box 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4" name="Text Box 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5" name="Text Box 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6" name="Text Box 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7" name="Text Box 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8" name="Text Box 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79" name="Text Box 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0" name="Text Box 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1" name="Text Box 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2" name="Text Box 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3" name="Text Box 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4" name="Text Box 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5" name="Text Box 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6" name="Text Box 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7" name="Text Box 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8" name="Text Box 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89" name="Text Box 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0" name="Text Box 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791" name="Text Box 38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2" name="Text Box 1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3" name="Text Box 1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4" name="Text Box 1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5" name="Text Box 1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6" name="Text Box 1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7" name="Text Box 1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8" name="Text Box 1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799" name="Text Box 1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0" name="Text Box 1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1" name="Text Box 1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2" name="Text Box 1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3" name="Text Box 1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4" name="Text Box 1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5" name="Text Box 1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6" name="Text Box 1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7" name="Text Box 1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8" name="Text Box 1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09" name="Text Box 1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0" name="Text Box 1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1" name="Text Box 1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2" name="Text Box 1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3" name="Text Box 1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4" name="Text Box 1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5" name="Text Box 1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6" name="Text Box 1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7" name="Text Box 1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8" name="Text Box 1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19" name="Text Box 1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0" name="Text Box 1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1" name="Text Box 1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2" name="Text Box 1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3" name="Text Box 1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4" name="Text Box 1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5" name="Text Box 1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6" name="Text Box 1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7" name="Text Box 1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8" name="Text Box 1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29" name="Text Box 1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0" name="Text Box 1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831" name="Text Box 159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2" name="Text Box 2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3" name="Text Box 2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4" name="Text Box 2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5" name="Text Box 2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6" name="Text Box 2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7" name="Text Box 2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8" name="Text Box 2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39" name="Text Box 2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0" name="Text Box 2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1" name="Text Box 2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2" name="Text Box 2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3" name="Text Box 2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4" name="Text Box 2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5" name="Text Box 2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6" name="Text Box 2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7" name="Text Box 2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8" name="Text Box 2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49" name="Text Box 2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0" name="Text Box 2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1" name="Text Box 2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2" name="Text Box 2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3" name="Text Box 2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4" name="Text Box 2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5" name="Text Box 2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6" name="Text Box 2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7" name="Text Box 2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8" name="Text Box 2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59" name="Text Box 2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0" name="Text Box 2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1" name="Text Box 2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2" name="Text Box 2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3" name="Text Box 2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4" name="Text Box 2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5" name="Text Box 2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6" name="Text Box 2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7" name="Text Box 2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8" name="Text Box 2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69" name="Text Box 2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0" name="Text Box 2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1" name="Text Box 2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2" name="Text Box 2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3" name="Text Box 2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4" name="Text Box 2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5" name="Text Box 2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6" name="Text Box 2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7" name="Text Box 2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8" name="Text Box 2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79" name="Text Box 2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0" name="Text Box 2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1" name="Text Box 2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2" name="Text Box 2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3" name="Text Box 2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4" name="Text Box 2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5" name="Text Box 2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6" name="Text Box 2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7" name="Text Box 2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8" name="Text Box 2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89" name="Text Box 2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0" name="Text Box 2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1" name="Text Box 3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2" name="Text Box 3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3" name="Text Box 3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4" name="Text Box 3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5" name="Text Box 3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6" name="Text Box 3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7" name="Text Box 3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8" name="Text Box 3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899" name="Text Box 3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0" name="Text Box 3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1" name="Text Box 3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2" name="Text Box 3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3" name="Text Box 3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4" name="Text Box 3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5" name="Text Box 3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6" name="Text Box 3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7" name="Text Box 3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8" name="Text Box 3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09" name="Text Box 3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0" name="Text Box 3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1" name="Text Box 3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2" name="Text Box 3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3" name="Text Box 3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4" name="Text Box 3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5" name="Text Box 3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6" name="Text Box 3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7" name="Text Box 3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8" name="Text Box 3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19" name="Text Box 3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0" name="Text Box 3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1" name="Text Box 3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2" name="Text Box 3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3" name="Text Box 3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4" name="Text Box 3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5" name="Text Box 3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6" name="Text Box 3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7" name="Text Box 3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8" name="Text Box 3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29" name="Text Box 3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0" name="Text Box 3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1" name="Text Box 3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2" name="Text Box 3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3" name="Text Box 3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4" name="Text Box 3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5" name="Text Box 3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6" name="Text Box 3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7" name="Text Box 3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8" name="Text Box 3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39" name="Text Box 3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0" name="Text Box 3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1" name="Text Box 3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2" name="Text Box 3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3" name="Text Box 3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4" name="Text Box 3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5" name="Text Box 3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6" name="Text Box 3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7" name="Text Box 3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8" name="Text Box 3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49" name="Text Box 3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0" name="Text Box 3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1" name="Text Box 3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2" name="Text Box 3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3" name="Text Box 3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4" name="Text Box 3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5" name="Text Box 3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6" name="Text Box 3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7" name="Text Box 3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8" name="Text Box 3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59" name="Text Box 3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0" name="Text Box 3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1" name="Text Box 3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2" name="Text Box 3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3" name="Text Box 3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4" name="Text Box 3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5" name="Text Box 3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6" name="Text Box 3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7" name="Text Box 3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8" name="Text Box 3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69" name="Text Box 3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0" name="Text Box 3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1" name="Text Box 3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2" name="Text Box 3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3" name="Text Box 3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4" name="Text Box 3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5" name="Text Box 3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6" name="Text Box 3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7" name="Text Box 3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8" name="Text Box 3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79" name="Text Box 3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0" name="Text Box 3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1" name="Text Box 3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2" name="Text Box 3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3" name="Text Box 3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4" name="Text Box 3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5" name="Text Box 3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6" name="Text Box 3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7" name="Text Box 3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8" name="Text Box 3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89" name="Text Box 3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0" name="Text Box 3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1" name="Text Box 4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2" name="Text Box 4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3" name="Text Box 4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4" name="Text Box 4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5" name="Text Box 4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6" name="Text Box 4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7" name="Text Box 4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8" name="Text Box 4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999" name="Text Box 4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0" name="Text Box 4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1" name="Text Box 4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2" name="Text Box 4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3" name="Text Box 4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4" name="Text Box 4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5" name="Text Box 4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6" name="Text Box 4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7" name="Text Box 4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8" name="Text Box 4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09" name="Text Box 4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0" name="Text Box 4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1" name="Text Box 4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2" name="Text Box 4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3" name="Text Box 4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4" name="Text Box 4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5" name="Text Box 4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6" name="Text Box 4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7" name="Text Box 4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8" name="Text Box 4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19" name="Text Box 4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0" name="Text Box 4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1" name="Text Box 4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2" name="Text Box 4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3" name="Text Box 4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4" name="Text Box 4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5" name="Text Box 4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6" name="Text Box 4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7" name="Text Box 4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8" name="Text Box 4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29" name="Text Box 4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0" name="Text Box 4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1" name="Text Box 4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2" name="Text Box 4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3" name="Text Box 4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4" name="Text Box 4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5" name="Text Box 4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6" name="Text Box 4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7" name="Text Box 4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8" name="Text Box 4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39" name="Text Box 4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0" name="Text Box 4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1" name="Text Box 4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2" name="Text Box 4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3" name="Text Box 4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4" name="Text Box 4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5" name="Text Box 4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6" name="Text Box 4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7" name="Text Box 4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8" name="Text Box 4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49" name="Text Box 4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0" name="Text Box 4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1" name="Text Box 4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2" name="Text Box 4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3" name="Text Box 4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4" name="Text Box 4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5" name="Text Box 4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6" name="Text Box 4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7" name="Text Box 4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8" name="Text Box 4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59" name="Text Box 4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0" name="Text Box 4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1" name="Text Box 4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2" name="Text Box 4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3" name="Text Box 4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4" name="Text Box 4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5" name="Text Box 4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6" name="Text Box 4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7" name="Text Box 4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8" name="Text Box 4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69" name="Text Box 4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0" name="Text Box 4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1" name="Text Box 4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2" name="Text Box 4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3" name="Text Box 4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4" name="Text Box 4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5" name="Text Box 4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6" name="Text Box 4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7" name="Text Box 4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8" name="Text Box 4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79" name="Text Box 4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0" name="Text Box 4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1" name="Text Box 4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2" name="Text Box 4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3" name="Text Box 4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4" name="Text Box 4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5" name="Text Box 4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6" name="Text Box 4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7" name="Text Box 4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8" name="Text Box 4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89" name="Text Box 4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0" name="Text Box 4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1" name="Text Box 5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2" name="Text Box 5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3" name="Text Box 5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4" name="Text Box 5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5" name="Text Box 5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6" name="Text Box 5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7" name="Text Box 5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8" name="Text Box 5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099" name="Text Box 5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0" name="Text Box 5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1" name="Text Box 5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2" name="Text Box 5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3" name="Text Box 5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4" name="Text Box 5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5" name="Text Box 5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6" name="Text Box 5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7" name="Text Box 5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8" name="Text Box 5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09" name="Text Box 5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0" name="Text Box 5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1" name="Text Box 5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2" name="Text Box 5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3" name="Text Box 5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4" name="Text Box 5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5" name="Text Box 5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6" name="Text Box 5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7" name="Text Box 5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8" name="Text Box 5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19" name="Text Box 5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0" name="Text Box 5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1" name="Text Box 5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2" name="Text Box 5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3" name="Text Box 5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4" name="Text Box 5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5" name="Text Box 5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6" name="Text Box 5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7" name="Text Box 5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8" name="Text Box 5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29" name="Text Box 5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0" name="Text Box 5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1" name="Text Box 5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2" name="Text Box 5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3" name="Text Box 5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4" name="Text Box 5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5" name="Text Box 5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6" name="Text Box 5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7" name="Text Box 5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8" name="Text Box 5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39" name="Text Box 5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0" name="Text Box 5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1" name="Text Box 5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2" name="Text Box 5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3" name="Text Box 5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4" name="Text Box 5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5" name="Text Box 5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6" name="Text Box 5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7" name="Text Box 5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8" name="Text Box 5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49" name="Text Box 5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0" name="Text Box 5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1" name="Text Box 5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2" name="Text Box 5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3" name="Text Box 5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4" name="Text Box 5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5" name="Text Box 5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6" name="Text Box 5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7" name="Text Box 5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8" name="Text Box 5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59" name="Text Box 5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0" name="Text Box 5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1" name="Text Box 5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2" name="Text Box 5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3" name="Text Box 5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4" name="Text Box 5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5" name="Text Box 5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6" name="Text Box 5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7" name="Text Box 5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8" name="Text Box 5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69" name="Text Box 5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0" name="Text Box 5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1" name="Text Box 5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2" name="Text Box 5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3" name="Text Box 5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4" name="Text Box 5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5" name="Text Box 5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6" name="Text Box 5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7" name="Text Box 5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8" name="Text Box 5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79" name="Text Box 5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0" name="Text Box 5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1" name="Text Box 5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2" name="Text Box 5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3" name="Text Box 5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4" name="Text Box 5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5" name="Text Box 5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6" name="Text Box 5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7" name="Text Box 5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8" name="Text Box 5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89" name="Text Box 5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0" name="Text Box 5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1" name="Text Box 6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2" name="Text Box 6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3" name="Text Box 6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4" name="Text Box 6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5" name="Text Box 6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6" name="Text Box 6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7" name="Text Box 6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8" name="Text Box 6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199" name="Text Box 6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0" name="Text Box 6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1" name="Text Box 6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2" name="Text Box 6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3" name="Text Box 6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4" name="Text Box 6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5" name="Text Box 6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6" name="Text Box 6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7" name="Text Box 6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8" name="Text Box 6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09" name="Text Box 6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0" name="Text Box 6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1" name="Text Box 6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2" name="Text Box 6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3" name="Text Box 6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4" name="Text Box 6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5" name="Text Box 6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6" name="Text Box 6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7" name="Text Box 6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8" name="Text Box 6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19" name="Text Box 6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0" name="Text Box 6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1" name="Text Box 6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2" name="Text Box 6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3" name="Text Box 6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4" name="Text Box 6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5" name="Text Box 6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6" name="Text Box 6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7" name="Text Box 6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8" name="Text Box 6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29" name="Text Box 6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0" name="Text Box 6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1" name="Text Box 6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2" name="Text Box 6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3" name="Text Box 6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4" name="Text Box 6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5" name="Text Box 6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6" name="Text Box 6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7" name="Text Box 6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8" name="Text Box 6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39" name="Text Box 6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0" name="Text Box 6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1" name="Text Box 6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2" name="Text Box 6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3" name="Text Box 6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4" name="Text Box 6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5" name="Text Box 6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6" name="Text Box 6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7" name="Text Box 6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8" name="Text Box 6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49" name="Text Box 6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0" name="Text Box 6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1" name="Text Box 6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2" name="Text Box 6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3" name="Text Box 6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4" name="Text Box 6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5" name="Text Box 6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6" name="Text Box 6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7" name="Text Box 6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8" name="Text Box 6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59" name="Text Box 6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0" name="Text Box 6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1" name="Text Box 6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2" name="Text Box 6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3" name="Text Box 6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4" name="Text Box 6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5" name="Text Box 6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6" name="Text Box 6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7" name="Text Box 6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8" name="Text Box 6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69" name="Text Box 6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0" name="Text Box 6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1" name="Text Box 6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2" name="Text Box 6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3" name="Text Box 6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4" name="Text Box 6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5" name="Text Box 6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6" name="Text Box 6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7" name="Text Box 6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8" name="Text Box 6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79" name="Text Box 6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0" name="Text Box 6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1" name="Text Box 6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2" name="Text Box 6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3" name="Text Box 6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4" name="Text Box 6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5" name="Text Box 6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6" name="Text Box 6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7" name="Text Box 6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8" name="Text Box 6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89" name="Text Box 6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0" name="Text Box 6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1" name="Text Box 7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2" name="Text Box 7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3" name="Text Box 7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4" name="Text Box 7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5" name="Text Box 7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6" name="Text Box 7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7" name="Text Box 7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8" name="Text Box 7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299" name="Text Box 7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0" name="Text Box 7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1" name="Text Box 7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2" name="Text Box 7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3" name="Text Box 7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4" name="Text Box 7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5" name="Text Box 7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6" name="Text Box 7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7" name="Text Box 7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8" name="Text Box 7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09" name="Text Box 7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0" name="Text Box 7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1" name="Text Box 7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2" name="Text Box 7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3" name="Text Box 7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4" name="Text Box 7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5" name="Text Box 7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6" name="Text Box 7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7" name="Text Box 7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8" name="Text Box 7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19" name="Text Box 7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0" name="Text Box 7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1" name="Text Box 7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2" name="Text Box 7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3" name="Text Box 7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4" name="Text Box 7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5" name="Text Box 7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6" name="Text Box 7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7" name="Text Box 7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8" name="Text Box 7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29" name="Text Box 7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0" name="Text Box 7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1" name="Text Box 7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2" name="Text Box 7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3" name="Text Box 7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4" name="Text Box 7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5" name="Text Box 7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6" name="Text Box 7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7" name="Text Box 7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8" name="Text Box 7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39" name="Text Box 7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0" name="Text Box 7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1" name="Text Box 7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2" name="Text Box 7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3" name="Text Box 7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4" name="Text Box 7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5" name="Text Box 7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6" name="Text Box 7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7" name="Text Box 7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8" name="Text Box 7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49" name="Text Box 7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0" name="Text Box 7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1" name="Text Box 7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2" name="Text Box 7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3" name="Text Box 7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4" name="Text Box 7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5" name="Text Box 7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6" name="Text Box 7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7" name="Text Box 7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8" name="Text Box 7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59" name="Text Box 7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0" name="Text Box 7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1" name="Text Box 7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2" name="Text Box 7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3" name="Text Box 7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4" name="Text Box 7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5" name="Text Box 7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6" name="Text Box 7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7" name="Text Box 7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8" name="Text Box 7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69" name="Text Box 7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0" name="Text Box 7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1" name="Text Box 7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2" name="Text Box 7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3" name="Text Box 7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4" name="Text Box 7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5" name="Text Box 7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6" name="Text Box 7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7" name="Text Box 7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8" name="Text Box 7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79" name="Text Box 7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0" name="Text Box 7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1" name="Text Box 7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2" name="Text Box 7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3" name="Text Box 7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4" name="Text Box 7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5" name="Text Box 7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6" name="Text Box 7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7" name="Text Box 7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8" name="Text Box 7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89" name="Text Box 7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0" name="Text Box 7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1" name="Text Box 8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2" name="Text Box 8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3" name="Text Box 8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4" name="Text Box 8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5" name="Text Box 8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6" name="Text Box 8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7" name="Text Box 8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8" name="Text Box 8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399" name="Text Box 8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0" name="Text Box 8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1" name="Text Box 8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2" name="Text Box 8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3" name="Text Box 8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4" name="Text Box 8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5" name="Text Box 8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6" name="Text Box 8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7" name="Text Box 8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8" name="Text Box 8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09" name="Text Box 8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0" name="Text Box 8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1" name="Text Box 8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2" name="Text Box 8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3" name="Text Box 8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4" name="Text Box 8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5" name="Text Box 8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6" name="Text Box 8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7" name="Text Box 8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8" name="Text Box 8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19" name="Text Box 8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0" name="Text Box 8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1" name="Text Box 8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2" name="Text Box 8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3" name="Text Box 8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4" name="Text Box 8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5" name="Text Box 8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6" name="Text Box 8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7" name="Text Box 8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8" name="Text Box 8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29" name="Text Box 8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0" name="Text Box 8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1" name="Text Box 8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2" name="Text Box 8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3" name="Text Box 8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4" name="Text Box 8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5" name="Text Box 8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6" name="Text Box 8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7" name="Text Box 8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8" name="Text Box 8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39" name="Text Box 8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0" name="Text Box 8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1" name="Text Box 8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2" name="Text Box 8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3" name="Text Box 8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4" name="Text Box 8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5" name="Text Box 8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6" name="Text Box 8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7" name="Text Box 8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8" name="Text Box 8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49" name="Text Box 8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0" name="Text Box 8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1" name="Text Box 8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2" name="Text Box 8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3" name="Text Box 8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4" name="Text Box 8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5" name="Text Box 8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6" name="Text Box 8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7" name="Text Box 8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8" name="Text Box 8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59" name="Text Box 8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0" name="Text Box 8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1" name="Text Box 8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2" name="Text Box 8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3" name="Text Box 8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4" name="Text Box 8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5" name="Text Box 8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6" name="Text Box 8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7" name="Text Box 8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8" name="Text Box 8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69" name="Text Box 8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0" name="Text Box 8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1" name="Text Box 8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2" name="Text Box 8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3" name="Text Box 8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4" name="Text Box 8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5" name="Text Box 8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6" name="Text Box 8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7" name="Text Box 8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8" name="Text Box 8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79" name="Text Box 8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0" name="Text Box 8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1" name="Text Box 8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2" name="Text Box 8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3" name="Text Box 8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4" name="Text Box 8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5" name="Text Box 8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6" name="Text Box 8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7" name="Text Box 8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8" name="Text Box 8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89" name="Text Box 8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90" name="Text Box 8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13</xdr:row>
      <xdr:rowOff>0</xdr:rowOff>
    </xdr:from>
    <xdr:ext cx="76200" cy="200025"/>
    <xdr:sp macro="" textlink="">
      <xdr:nvSpPr>
        <xdr:cNvPr id="1491" name="Text Box 9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492" name="Text Box 901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493" name="Text Box 902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494" name="Text Box 903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495" name="Text Box 904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496" name="Text Box 905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497" name="Text Box 906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498" name="Text Box 907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499" name="Text Box 908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500" name="Text Box 909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501" name="Text Box 910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502" name="Text Box 911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24</xdr:row>
      <xdr:rowOff>28575</xdr:rowOff>
    </xdr:from>
    <xdr:ext cx="76200" cy="200025"/>
    <xdr:sp macro="" textlink="">
      <xdr:nvSpPr>
        <xdr:cNvPr id="1503" name="Text Box 912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504" name="Text Box 913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17</xdr:row>
      <xdr:rowOff>28575</xdr:rowOff>
    </xdr:from>
    <xdr:ext cx="76200" cy="200025"/>
    <xdr:sp macro="" textlink="">
      <xdr:nvSpPr>
        <xdr:cNvPr id="1505" name="Text Box 914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06" name="Text Box 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07" name="Text Box 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08" name="Text Box 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09" name="Text Box 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2" name="Text Box 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3" name="Text Box 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4" name="Text Box 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5" name="Text Box 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6" name="Text Box 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7" name="Text Box 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8" name="Text Box 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19" name="Text Box 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0" name="Text Box 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1" name="Text Box 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2" name="Text Box 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3" name="Text Box 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4" name="Text Box 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5" name="Text Box 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6" name="Text Box 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7" name="Text Box 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8" name="Text Box 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29" name="Text Box 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0" name="Text Box 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1" name="Text Box 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2" name="Text Box 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3" name="Text Box 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4" name="Text Box 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5" name="Text Box 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6" name="Text Box 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7" name="Text Box 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8" name="Text Box 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39" name="Text Box 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0" name="Text Box 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1" name="Text Box 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2" name="Text Box 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3" name="Text Box 38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4" name="Text Box 1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5" name="Text Box 1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6" name="Text Box 1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7" name="Text Box 1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8" name="Text Box 1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49" name="Text Box 1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0" name="Text Box 1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1" name="Text Box 1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2" name="Text Box 1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3" name="Text Box 1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4" name="Text Box 1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5" name="Text Box 1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6" name="Text Box 1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7" name="Text Box 1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8" name="Text Box 1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59" name="Text Box 1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0" name="Text Box 1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1" name="Text Box 1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2" name="Text Box 1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3" name="Text Box 1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4" name="Text Box 1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5" name="Text Box 1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6" name="Text Box 1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7" name="Text Box 1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8" name="Text Box 1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69" name="Text Box 1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0" name="Text Box 1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1" name="Text Box 1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2" name="Text Box 1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3" name="Text Box 1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4" name="Text Box 1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5" name="Text Box 1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6" name="Text Box 1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7" name="Text Box 1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8" name="Text Box 1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79" name="Text Box 1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0" name="Text Box 1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1" name="Text Box 1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2" name="Text Box 1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3" name="Text Box 159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4" name="Text Box 2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5" name="Text Box 2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6" name="Text Box 2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7" name="Text Box 2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8" name="Text Box 2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89" name="Text Box 2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0" name="Text Box 2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1" name="Text Box 2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2" name="Text Box 2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3" name="Text Box 2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4" name="Text Box 2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5" name="Text Box 2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6" name="Text Box 2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7" name="Text Box 2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8" name="Text Box 2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599" name="Text Box 2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0" name="Text Box 2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1" name="Text Box 2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2" name="Text Box 2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3" name="Text Box 2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4" name="Text Box 2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5" name="Text Box 2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6" name="Text Box 2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7" name="Text Box 2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8" name="Text Box 2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09" name="Text Box 2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0" name="Text Box 2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1" name="Text Box 2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2" name="Text Box 2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3" name="Text Box 2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4" name="Text Box 2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5" name="Text Box 2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6" name="Text Box 2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7" name="Text Box 2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8" name="Text Box 2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19" name="Text Box 2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0" name="Text Box 2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1" name="Text Box 2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2" name="Text Box 2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3" name="Text Box 2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4" name="Text Box 2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5" name="Text Box 2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6" name="Text Box 2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7" name="Text Box 2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8" name="Text Box 2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29" name="Text Box 2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0" name="Text Box 2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1" name="Text Box 2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2" name="Text Box 2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3" name="Text Box 2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4" name="Text Box 2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5" name="Text Box 2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6" name="Text Box 2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7" name="Text Box 2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8" name="Text Box 2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39" name="Text Box 2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0" name="Text Box 2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1" name="Text Box 2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2" name="Text Box 2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3" name="Text Box 3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4" name="Text Box 3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5" name="Text Box 3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6" name="Text Box 3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7" name="Text Box 3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8" name="Text Box 3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49" name="Text Box 3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0" name="Text Box 3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1" name="Text Box 3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2" name="Text Box 3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3" name="Text Box 3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4" name="Text Box 3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5" name="Text Box 3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6" name="Text Box 3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7" name="Text Box 3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8" name="Text Box 3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59" name="Text Box 3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0" name="Text Box 3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1" name="Text Box 3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2" name="Text Box 3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3" name="Text Box 3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4" name="Text Box 3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5" name="Text Box 3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6" name="Text Box 3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7" name="Text Box 3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8" name="Text Box 3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69" name="Text Box 3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0" name="Text Box 3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1" name="Text Box 3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2" name="Text Box 3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3" name="Text Box 3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4" name="Text Box 3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5" name="Text Box 3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6" name="Text Box 3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7" name="Text Box 3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8" name="Text Box 3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79" name="Text Box 3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0" name="Text Box 3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1" name="Text Box 3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2" name="Text Box 3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3" name="Text Box 3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4" name="Text Box 3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5" name="Text Box 3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6" name="Text Box 3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7" name="Text Box 3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8" name="Text Box 3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89" name="Text Box 3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0" name="Text Box 3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1" name="Text Box 3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2" name="Text Box 3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3" name="Text Box 3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4" name="Text Box 3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5" name="Text Box 3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6" name="Text Box 3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7" name="Text Box 3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8" name="Text Box 3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699" name="Text Box 3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0" name="Text Box 3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1" name="Text Box 3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2" name="Text Box 3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3" name="Text Box 3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4" name="Text Box 3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5" name="Text Box 3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6" name="Text Box 3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7" name="Text Box 3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8" name="Text Box 3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09" name="Text Box 3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0" name="Text Box 3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1" name="Text Box 3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2" name="Text Box 3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3" name="Text Box 3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4" name="Text Box 3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5" name="Text Box 3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6" name="Text Box 3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7" name="Text Box 3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8" name="Text Box 3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19" name="Text Box 3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0" name="Text Box 3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1" name="Text Box 3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2" name="Text Box 3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3" name="Text Box 3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4" name="Text Box 3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5" name="Text Box 3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6" name="Text Box 3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7" name="Text Box 3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8" name="Text Box 3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29" name="Text Box 3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0" name="Text Box 3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1" name="Text Box 3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2" name="Text Box 3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3" name="Text Box 3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4" name="Text Box 3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5" name="Text Box 3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6" name="Text Box 3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7" name="Text Box 3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8" name="Text Box 3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39" name="Text Box 3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0" name="Text Box 3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1" name="Text Box 3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2" name="Text Box 3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3" name="Text Box 4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4" name="Text Box 4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5" name="Text Box 4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6" name="Text Box 4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7" name="Text Box 4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8" name="Text Box 4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49" name="Text Box 4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0" name="Text Box 4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1" name="Text Box 4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2" name="Text Box 4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3" name="Text Box 4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4" name="Text Box 4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5" name="Text Box 4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6" name="Text Box 4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7" name="Text Box 4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8" name="Text Box 4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59" name="Text Box 4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0" name="Text Box 4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1" name="Text Box 4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2" name="Text Box 4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3" name="Text Box 4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4" name="Text Box 4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5" name="Text Box 4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6" name="Text Box 4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7" name="Text Box 4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8" name="Text Box 4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69" name="Text Box 4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0" name="Text Box 4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1" name="Text Box 4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2" name="Text Box 4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3" name="Text Box 4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4" name="Text Box 4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5" name="Text Box 4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6" name="Text Box 4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7" name="Text Box 4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8" name="Text Box 4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79" name="Text Box 4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0" name="Text Box 4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1" name="Text Box 4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2" name="Text Box 4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3" name="Text Box 4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4" name="Text Box 4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5" name="Text Box 4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6" name="Text Box 4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7" name="Text Box 4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8" name="Text Box 4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89" name="Text Box 4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0" name="Text Box 4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1" name="Text Box 4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2" name="Text Box 4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3" name="Text Box 4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4" name="Text Box 4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5" name="Text Box 4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6" name="Text Box 4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7" name="Text Box 4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8" name="Text Box 4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799" name="Text Box 4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0" name="Text Box 4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1" name="Text Box 4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2" name="Text Box 4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3" name="Text Box 4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4" name="Text Box 4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5" name="Text Box 4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6" name="Text Box 4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7" name="Text Box 4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8" name="Text Box 4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09" name="Text Box 4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0" name="Text Box 4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1" name="Text Box 4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2" name="Text Box 4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3" name="Text Box 4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4" name="Text Box 4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5" name="Text Box 4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6" name="Text Box 4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7" name="Text Box 4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8" name="Text Box 4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19" name="Text Box 4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0" name="Text Box 4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1" name="Text Box 4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2" name="Text Box 4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3" name="Text Box 4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4" name="Text Box 4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5" name="Text Box 4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6" name="Text Box 4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7" name="Text Box 4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8" name="Text Box 4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29" name="Text Box 4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0" name="Text Box 4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1" name="Text Box 4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2" name="Text Box 4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3" name="Text Box 4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4" name="Text Box 4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5" name="Text Box 4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6" name="Text Box 4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7" name="Text Box 4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8" name="Text Box 4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39" name="Text Box 4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0" name="Text Box 4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1" name="Text Box 4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2" name="Text Box 4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3" name="Text Box 5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4" name="Text Box 5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5" name="Text Box 5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6" name="Text Box 5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7" name="Text Box 5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8" name="Text Box 5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49" name="Text Box 5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0" name="Text Box 5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1" name="Text Box 5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2" name="Text Box 5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3" name="Text Box 5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4" name="Text Box 5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5" name="Text Box 5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6" name="Text Box 5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7" name="Text Box 5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8" name="Text Box 5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59" name="Text Box 5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0" name="Text Box 5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1" name="Text Box 5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2" name="Text Box 5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3" name="Text Box 5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4" name="Text Box 5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5" name="Text Box 5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6" name="Text Box 5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7" name="Text Box 5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8" name="Text Box 5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69" name="Text Box 5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0" name="Text Box 5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1" name="Text Box 5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2" name="Text Box 5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3" name="Text Box 5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4" name="Text Box 5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5" name="Text Box 5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6" name="Text Box 5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7" name="Text Box 5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8" name="Text Box 5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79" name="Text Box 5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0" name="Text Box 5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1" name="Text Box 5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2" name="Text Box 5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3" name="Text Box 5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4" name="Text Box 5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5" name="Text Box 5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6" name="Text Box 5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7" name="Text Box 5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8" name="Text Box 5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89" name="Text Box 5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0" name="Text Box 5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1" name="Text Box 5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2" name="Text Box 5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3" name="Text Box 5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4" name="Text Box 5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5" name="Text Box 5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6" name="Text Box 5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7" name="Text Box 5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8" name="Text Box 5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899" name="Text Box 5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0" name="Text Box 5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1" name="Text Box 5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2" name="Text Box 5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3" name="Text Box 5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4" name="Text Box 5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5" name="Text Box 5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6" name="Text Box 5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7" name="Text Box 5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8" name="Text Box 5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09" name="Text Box 5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0" name="Text Box 5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1" name="Text Box 5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2" name="Text Box 5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3" name="Text Box 5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4" name="Text Box 5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5" name="Text Box 5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6" name="Text Box 5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7" name="Text Box 5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8" name="Text Box 5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19" name="Text Box 5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0" name="Text Box 5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1" name="Text Box 5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2" name="Text Box 5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3" name="Text Box 5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4" name="Text Box 5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5" name="Text Box 5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6" name="Text Box 5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7" name="Text Box 5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8" name="Text Box 5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29" name="Text Box 5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0" name="Text Box 5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1" name="Text Box 5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2" name="Text Box 5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3" name="Text Box 5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4" name="Text Box 5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5" name="Text Box 5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6" name="Text Box 5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7" name="Text Box 5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8" name="Text Box 5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39" name="Text Box 5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0" name="Text Box 5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1" name="Text Box 5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2" name="Text Box 5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3" name="Text Box 6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4" name="Text Box 6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5" name="Text Box 6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6" name="Text Box 6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7" name="Text Box 6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8" name="Text Box 6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49" name="Text Box 6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0" name="Text Box 6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1" name="Text Box 6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2" name="Text Box 6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3" name="Text Box 6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4" name="Text Box 6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5" name="Text Box 6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6" name="Text Box 6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7" name="Text Box 6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8" name="Text Box 6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59" name="Text Box 6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0" name="Text Box 6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1" name="Text Box 6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2" name="Text Box 6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3" name="Text Box 6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4" name="Text Box 6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5" name="Text Box 6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6" name="Text Box 6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7" name="Text Box 6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8" name="Text Box 6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69" name="Text Box 6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0" name="Text Box 6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1" name="Text Box 6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2" name="Text Box 6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3" name="Text Box 6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4" name="Text Box 6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5" name="Text Box 6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6" name="Text Box 6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7" name="Text Box 6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8" name="Text Box 6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79" name="Text Box 6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0" name="Text Box 6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1" name="Text Box 6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2" name="Text Box 6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3" name="Text Box 6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4" name="Text Box 6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5" name="Text Box 6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6" name="Text Box 6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7" name="Text Box 6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8" name="Text Box 6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89" name="Text Box 6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0" name="Text Box 6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1" name="Text Box 6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2" name="Text Box 6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3" name="Text Box 6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4" name="Text Box 6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5" name="Text Box 6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6" name="Text Box 6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7" name="Text Box 6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8" name="Text Box 6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1999" name="Text Box 6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0" name="Text Box 6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1" name="Text Box 6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2" name="Text Box 6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3" name="Text Box 6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4" name="Text Box 6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5" name="Text Box 6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6" name="Text Box 6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7" name="Text Box 6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8" name="Text Box 6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09" name="Text Box 6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0" name="Text Box 6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1" name="Text Box 6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2" name="Text Box 6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3" name="Text Box 6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4" name="Text Box 6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5" name="Text Box 6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6" name="Text Box 6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7" name="Text Box 6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8" name="Text Box 6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19" name="Text Box 6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0" name="Text Box 6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1" name="Text Box 6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2" name="Text Box 6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3" name="Text Box 6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4" name="Text Box 6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5" name="Text Box 6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6" name="Text Box 6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7" name="Text Box 6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8" name="Text Box 6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29" name="Text Box 6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0" name="Text Box 6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1" name="Text Box 6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2" name="Text Box 6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3" name="Text Box 6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4" name="Text Box 6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5" name="Text Box 6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6" name="Text Box 6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7" name="Text Box 6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8" name="Text Box 6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39" name="Text Box 6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0" name="Text Box 6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1" name="Text Box 6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2" name="Text Box 6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3" name="Text Box 7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4" name="Text Box 7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5" name="Text Box 7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6" name="Text Box 7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7" name="Text Box 7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8" name="Text Box 7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49" name="Text Box 7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0" name="Text Box 7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1" name="Text Box 7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2" name="Text Box 7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3" name="Text Box 7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4" name="Text Box 7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5" name="Text Box 7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6" name="Text Box 7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7" name="Text Box 7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8" name="Text Box 7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59" name="Text Box 7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0" name="Text Box 7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1" name="Text Box 7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2" name="Text Box 7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3" name="Text Box 7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4" name="Text Box 7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5" name="Text Box 7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6" name="Text Box 7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7" name="Text Box 7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8" name="Text Box 7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69" name="Text Box 7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0" name="Text Box 7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1" name="Text Box 7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2" name="Text Box 7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3" name="Text Box 7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4" name="Text Box 7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5" name="Text Box 7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6" name="Text Box 7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7" name="Text Box 7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8" name="Text Box 7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79" name="Text Box 7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0" name="Text Box 7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1" name="Text Box 7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2" name="Text Box 7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3" name="Text Box 7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4" name="Text Box 7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5" name="Text Box 7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6" name="Text Box 7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7" name="Text Box 7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8" name="Text Box 7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89" name="Text Box 7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0" name="Text Box 7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1" name="Text Box 7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2" name="Text Box 7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3" name="Text Box 7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4" name="Text Box 7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5" name="Text Box 7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6" name="Text Box 7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7" name="Text Box 7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8" name="Text Box 7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099" name="Text Box 7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0" name="Text Box 7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1" name="Text Box 7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2" name="Text Box 7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3" name="Text Box 7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4" name="Text Box 7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5" name="Text Box 7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6" name="Text Box 7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7" name="Text Box 7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8" name="Text Box 7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09" name="Text Box 7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0" name="Text Box 7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1" name="Text Box 7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2" name="Text Box 7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3" name="Text Box 7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4" name="Text Box 7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5" name="Text Box 7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6" name="Text Box 7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7" name="Text Box 7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8" name="Text Box 7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19" name="Text Box 7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0" name="Text Box 7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1" name="Text Box 7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2" name="Text Box 7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3" name="Text Box 7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4" name="Text Box 7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5" name="Text Box 7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6" name="Text Box 7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7" name="Text Box 7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8" name="Text Box 7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29" name="Text Box 7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0" name="Text Box 7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1" name="Text Box 7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2" name="Text Box 7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3" name="Text Box 7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4" name="Text Box 7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5" name="Text Box 7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6" name="Text Box 7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7" name="Text Box 7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8" name="Text Box 7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39" name="Text Box 7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0" name="Text Box 7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1" name="Text Box 7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2" name="Text Box 7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3" name="Text Box 8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4" name="Text Box 8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5" name="Text Box 8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6" name="Text Box 8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7" name="Text Box 8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8" name="Text Box 8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49" name="Text Box 8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0" name="Text Box 8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1" name="Text Box 8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2" name="Text Box 8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3" name="Text Box 8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4" name="Text Box 8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5" name="Text Box 8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6" name="Text Box 8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7" name="Text Box 8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8" name="Text Box 8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59" name="Text Box 8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0" name="Text Box 8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1" name="Text Box 8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2" name="Text Box 8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3" name="Text Box 8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4" name="Text Box 8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5" name="Text Box 8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6" name="Text Box 8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7" name="Text Box 8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8" name="Text Box 8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69" name="Text Box 8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0" name="Text Box 8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1" name="Text Box 8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2" name="Text Box 8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3" name="Text Box 8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4" name="Text Box 8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5" name="Text Box 8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6" name="Text Box 8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7" name="Text Box 8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8" name="Text Box 8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79" name="Text Box 8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0" name="Text Box 8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1" name="Text Box 8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2" name="Text Box 8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3" name="Text Box 8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4" name="Text Box 8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5" name="Text Box 8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6" name="Text Box 8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7" name="Text Box 8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8" name="Text Box 8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89" name="Text Box 8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0" name="Text Box 8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1" name="Text Box 8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2" name="Text Box 8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3" name="Text Box 8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4" name="Text Box 8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5" name="Text Box 8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6" name="Text Box 8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7" name="Text Box 8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8" name="Text Box 8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199" name="Text Box 8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0" name="Text Box 8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1" name="Text Box 8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2" name="Text Box 8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3" name="Text Box 8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4" name="Text Box 8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5" name="Text Box 8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6" name="Text Box 8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7" name="Text Box 8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8" name="Text Box 8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09" name="Text Box 8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0" name="Text Box 8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1" name="Text Box 8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2" name="Text Box 8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3" name="Text Box 8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4" name="Text Box 8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5" name="Text Box 8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6" name="Text Box 8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7" name="Text Box 8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8" name="Text Box 8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19" name="Text Box 8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0" name="Text Box 8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1" name="Text Box 8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2" name="Text Box 8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3" name="Text Box 8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4" name="Text Box 8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5" name="Text Box 8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6" name="Text Box 8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7" name="Text Box 8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8" name="Text Box 8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29" name="Text Box 8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0" name="Text Box 8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1" name="Text Box 8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2" name="Text Box 8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3" name="Text Box 8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4" name="Text Box 8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5" name="Text Box 8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6" name="Text Box 8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7" name="Text Box 8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8" name="Text Box 8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39" name="Text Box 8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0" name="Text Box 8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1" name="Text Box 8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2" name="Text Box 8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3" name="Text Box 9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4" name="Text Box 901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5" name="Text Box 902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6" name="Text Box 903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7" name="Text Box 904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8" name="Text Box 905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49" name="Text Box 906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0" name="Text Box 907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1" name="Text Box 908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2" name="Text Box 909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3" name="Text Box 910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4" name="Text Box 911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5" name="Text Box 912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6" name="Text Box 913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58</xdr:row>
      <xdr:rowOff>0</xdr:rowOff>
    </xdr:from>
    <xdr:ext cx="76200" cy="200025"/>
    <xdr:sp macro="" textlink="">
      <xdr:nvSpPr>
        <xdr:cNvPr id="2257" name="Text Box 914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58" name="Text Box 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59" name="Text Box 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0" name="Text Box 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1" name="Text Box 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4" name="Text Box 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5" name="Text Box 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6" name="Text Box 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7" name="Text Box 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8" name="Text Box 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69" name="Text Box 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0" name="Text Box 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1" name="Text Box 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2" name="Text Box 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3" name="Text Box 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4" name="Text Box 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5" name="Text Box 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6" name="Text Box 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7" name="Text Box 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8" name="Text Box 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79" name="Text Box 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0" name="Text Box 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1" name="Text Box 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2" name="Text Box 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3" name="Text Box 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4" name="Text Box 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5" name="Text Box 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6" name="Text Box 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7" name="Text Box 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8" name="Text Box 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89" name="Text Box 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0" name="Text Box 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1" name="Text Box 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2" name="Text Box 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3" name="Text Box 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4" name="Text Box 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5" name="Text Box 1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6" name="Text Box 1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7" name="Text Box 1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8" name="Text Box 1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299" name="Text Box 1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0" name="Text Box 1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1" name="Text Box 1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2" name="Text Box 1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3" name="Text Box 1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4" name="Text Box 1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5" name="Text Box 1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6" name="Text Box 1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7" name="Text Box 1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8" name="Text Box 1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09" name="Text Box 1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0" name="Text Box 1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1" name="Text Box 1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2" name="Text Box 1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3" name="Text Box 1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4" name="Text Box 1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5" name="Text Box 1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6" name="Text Box 1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7" name="Text Box 1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8" name="Text Box 1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19" name="Text Box 1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0" name="Text Box 1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1" name="Text Box 1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2" name="Text Box 1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3" name="Text Box 1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4" name="Text Box 1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5" name="Text Box 1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6" name="Text Box 1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7" name="Text Box 1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8" name="Text Box 1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29" name="Text Box 1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0" name="Text Box 1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1" name="Text Box 1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2" name="Text Box 1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3" name="Text Box 1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4" name="Text Box 2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5" name="Text Box 2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6" name="Text Box 2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7" name="Text Box 2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8" name="Text Box 2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39" name="Text Box 2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0" name="Text Box 2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1" name="Text Box 2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2" name="Text Box 2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3" name="Text Box 2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4" name="Text Box 2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5" name="Text Box 2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6" name="Text Box 2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7" name="Text Box 2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8" name="Text Box 2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49" name="Text Box 2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0" name="Text Box 2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1" name="Text Box 2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2" name="Text Box 2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3" name="Text Box 2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4" name="Text Box 2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5" name="Text Box 2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6" name="Text Box 2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7" name="Text Box 2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8" name="Text Box 2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59" name="Text Box 2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0" name="Text Box 2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1" name="Text Box 2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2" name="Text Box 2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3" name="Text Box 2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4" name="Text Box 2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5" name="Text Box 2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6" name="Text Box 2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7" name="Text Box 2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8" name="Text Box 2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69" name="Text Box 2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0" name="Text Box 2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1" name="Text Box 2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2" name="Text Box 2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3" name="Text Box 2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4" name="Text Box 2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5" name="Text Box 2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6" name="Text Box 2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7" name="Text Box 2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8" name="Text Box 2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79" name="Text Box 2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0" name="Text Box 2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1" name="Text Box 2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2" name="Text Box 2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3" name="Text Box 2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4" name="Text Box 2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5" name="Text Box 2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6" name="Text Box 2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7" name="Text Box 2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8" name="Text Box 2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89" name="Text Box 2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0" name="Text Box 2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1" name="Text Box 2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2" name="Text Box 2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3" name="Text Box 3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4" name="Text Box 3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5" name="Text Box 3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6" name="Text Box 3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7" name="Text Box 3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8" name="Text Box 3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399" name="Text Box 3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0" name="Text Box 3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1" name="Text Box 3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2" name="Text Box 3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3" name="Text Box 3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4" name="Text Box 3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5" name="Text Box 3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6" name="Text Box 3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7" name="Text Box 3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8" name="Text Box 3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09" name="Text Box 3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0" name="Text Box 3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1" name="Text Box 3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2" name="Text Box 3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3" name="Text Box 3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4" name="Text Box 3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5" name="Text Box 3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6" name="Text Box 3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7" name="Text Box 3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8" name="Text Box 3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19" name="Text Box 3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0" name="Text Box 3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1" name="Text Box 3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2" name="Text Box 3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3" name="Text Box 3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4" name="Text Box 3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5" name="Text Box 3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6" name="Text Box 3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7" name="Text Box 3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8" name="Text Box 3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29" name="Text Box 3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0" name="Text Box 3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1" name="Text Box 3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2" name="Text Box 3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3" name="Text Box 3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4" name="Text Box 3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5" name="Text Box 3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6" name="Text Box 3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7" name="Text Box 3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8" name="Text Box 3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39" name="Text Box 3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0" name="Text Box 3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1" name="Text Box 3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2" name="Text Box 3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3" name="Text Box 3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4" name="Text Box 3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5" name="Text Box 3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6" name="Text Box 3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7" name="Text Box 3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8" name="Text Box 3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49" name="Text Box 3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0" name="Text Box 3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1" name="Text Box 3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2" name="Text Box 3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3" name="Text Box 3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4" name="Text Box 3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5" name="Text Box 3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6" name="Text Box 3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7" name="Text Box 3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8" name="Text Box 3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59" name="Text Box 3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0" name="Text Box 3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1" name="Text Box 3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2" name="Text Box 3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3" name="Text Box 3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4" name="Text Box 3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5" name="Text Box 3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6" name="Text Box 3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7" name="Text Box 3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8" name="Text Box 3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69" name="Text Box 3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0" name="Text Box 3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1" name="Text Box 3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2" name="Text Box 3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3" name="Text Box 3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4" name="Text Box 3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5" name="Text Box 3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6" name="Text Box 3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7" name="Text Box 3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8" name="Text Box 3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79" name="Text Box 3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0" name="Text Box 3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1" name="Text Box 3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2" name="Text Box 3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3" name="Text Box 3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4" name="Text Box 3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5" name="Text Box 3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6" name="Text Box 3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7" name="Text Box 3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8" name="Text Box 3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89" name="Text Box 3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0" name="Text Box 3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1" name="Text Box 3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2" name="Text Box 3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3" name="Text Box 4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4" name="Text Box 4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5" name="Text Box 4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6" name="Text Box 4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7" name="Text Box 4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8" name="Text Box 4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499" name="Text Box 4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0" name="Text Box 4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1" name="Text Box 4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2" name="Text Box 4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3" name="Text Box 4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4" name="Text Box 4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5" name="Text Box 4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6" name="Text Box 4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7" name="Text Box 4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8" name="Text Box 4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09" name="Text Box 4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0" name="Text Box 4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1" name="Text Box 4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2" name="Text Box 4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3" name="Text Box 4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4" name="Text Box 4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5" name="Text Box 4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6" name="Text Box 4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7" name="Text Box 4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8" name="Text Box 4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19" name="Text Box 4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0" name="Text Box 4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1" name="Text Box 4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2" name="Text Box 4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3" name="Text Box 4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4" name="Text Box 4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5" name="Text Box 4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6" name="Text Box 4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7" name="Text Box 4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8" name="Text Box 4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29" name="Text Box 4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0" name="Text Box 4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1" name="Text Box 4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2" name="Text Box 4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3" name="Text Box 4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4" name="Text Box 4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5" name="Text Box 4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6" name="Text Box 4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7" name="Text Box 4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8" name="Text Box 4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39" name="Text Box 4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0" name="Text Box 4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1" name="Text Box 4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2" name="Text Box 4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3" name="Text Box 4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4" name="Text Box 4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5" name="Text Box 4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6" name="Text Box 4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7" name="Text Box 4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8" name="Text Box 4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49" name="Text Box 4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0" name="Text Box 4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1" name="Text Box 4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2" name="Text Box 4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3" name="Text Box 4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4" name="Text Box 4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5" name="Text Box 4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6" name="Text Box 4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7" name="Text Box 4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8" name="Text Box 4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59" name="Text Box 4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0" name="Text Box 4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1" name="Text Box 4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2" name="Text Box 4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3" name="Text Box 4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4" name="Text Box 4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5" name="Text Box 4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6" name="Text Box 4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7" name="Text Box 4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8" name="Text Box 4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69" name="Text Box 4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0" name="Text Box 4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1" name="Text Box 4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2" name="Text Box 4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3" name="Text Box 4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4" name="Text Box 4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5" name="Text Box 4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6" name="Text Box 4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7" name="Text Box 4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8" name="Text Box 4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79" name="Text Box 4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0" name="Text Box 4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1" name="Text Box 4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2" name="Text Box 4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3" name="Text Box 4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4" name="Text Box 4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5" name="Text Box 4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6" name="Text Box 4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7" name="Text Box 4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8" name="Text Box 4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89" name="Text Box 4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0" name="Text Box 4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1" name="Text Box 4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2" name="Text Box 4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3" name="Text Box 5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4" name="Text Box 5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5" name="Text Box 5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6" name="Text Box 5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7" name="Text Box 5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8" name="Text Box 5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599" name="Text Box 5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0" name="Text Box 5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1" name="Text Box 5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2" name="Text Box 5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3" name="Text Box 5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4" name="Text Box 5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5" name="Text Box 5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6" name="Text Box 5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7" name="Text Box 5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8" name="Text Box 5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09" name="Text Box 5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0" name="Text Box 5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1" name="Text Box 5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2" name="Text Box 5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3" name="Text Box 5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4" name="Text Box 5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5" name="Text Box 5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6" name="Text Box 5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7" name="Text Box 5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8" name="Text Box 5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19" name="Text Box 5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0" name="Text Box 5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1" name="Text Box 5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2" name="Text Box 5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3" name="Text Box 5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4" name="Text Box 5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5" name="Text Box 5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6" name="Text Box 5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7" name="Text Box 5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8" name="Text Box 5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29" name="Text Box 5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0" name="Text Box 5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1" name="Text Box 5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2" name="Text Box 5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3" name="Text Box 5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4" name="Text Box 5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5" name="Text Box 5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6" name="Text Box 5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7" name="Text Box 5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8" name="Text Box 5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39" name="Text Box 5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0" name="Text Box 5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1" name="Text Box 5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2" name="Text Box 5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3" name="Text Box 5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4" name="Text Box 5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5" name="Text Box 5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6" name="Text Box 5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7" name="Text Box 5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8" name="Text Box 5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49" name="Text Box 5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0" name="Text Box 5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1" name="Text Box 5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2" name="Text Box 5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3" name="Text Box 5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4" name="Text Box 5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5" name="Text Box 5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6" name="Text Box 5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7" name="Text Box 5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8" name="Text Box 5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59" name="Text Box 5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0" name="Text Box 5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1" name="Text Box 5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2" name="Text Box 5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3" name="Text Box 5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4" name="Text Box 5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5" name="Text Box 5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6" name="Text Box 5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7" name="Text Box 5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8" name="Text Box 5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69" name="Text Box 5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0" name="Text Box 5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1" name="Text Box 5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2" name="Text Box 5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3" name="Text Box 5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4" name="Text Box 5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5" name="Text Box 5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6" name="Text Box 5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7" name="Text Box 5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8" name="Text Box 5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79" name="Text Box 5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0" name="Text Box 5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1" name="Text Box 5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2" name="Text Box 5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3" name="Text Box 5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4" name="Text Box 5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5" name="Text Box 5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6" name="Text Box 5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7" name="Text Box 5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8" name="Text Box 5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89" name="Text Box 5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0" name="Text Box 5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1" name="Text Box 5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2" name="Text Box 5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3" name="Text Box 6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4" name="Text Box 6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5" name="Text Box 6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6" name="Text Box 6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7" name="Text Box 6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8" name="Text Box 6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699" name="Text Box 6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0" name="Text Box 6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1" name="Text Box 6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2" name="Text Box 6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3" name="Text Box 6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4" name="Text Box 6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5" name="Text Box 6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6" name="Text Box 6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7" name="Text Box 6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8" name="Text Box 6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09" name="Text Box 6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0" name="Text Box 6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1" name="Text Box 6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2" name="Text Box 6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3" name="Text Box 6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4" name="Text Box 6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5" name="Text Box 6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6" name="Text Box 6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7" name="Text Box 6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8" name="Text Box 6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19" name="Text Box 6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0" name="Text Box 6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1" name="Text Box 6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2" name="Text Box 6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3" name="Text Box 6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4" name="Text Box 6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5" name="Text Box 6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6" name="Text Box 6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7" name="Text Box 6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8" name="Text Box 6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29" name="Text Box 6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0" name="Text Box 6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1" name="Text Box 6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2" name="Text Box 6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3" name="Text Box 6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4" name="Text Box 6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5" name="Text Box 6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6" name="Text Box 6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7" name="Text Box 6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8" name="Text Box 6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39" name="Text Box 6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0" name="Text Box 6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1" name="Text Box 6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2" name="Text Box 6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3" name="Text Box 6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4" name="Text Box 6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5" name="Text Box 6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6" name="Text Box 6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7" name="Text Box 6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8" name="Text Box 6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49" name="Text Box 6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0" name="Text Box 6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1" name="Text Box 6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2" name="Text Box 6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3" name="Text Box 6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4" name="Text Box 6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5" name="Text Box 6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6" name="Text Box 6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7" name="Text Box 6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8" name="Text Box 6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59" name="Text Box 6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0" name="Text Box 6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1" name="Text Box 6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2" name="Text Box 6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3" name="Text Box 6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4" name="Text Box 6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5" name="Text Box 6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6" name="Text Box 6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7" name="Text Box 6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8" name="Text Box 6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69" name="Text Box 6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0" name="Text Box 6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1" name="Text Box 6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2" name="Text Box 6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3" name="Text Box 6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4" name="Text Box 6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5" name="Text Box 6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6" name="Text Box 6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7" name="Text Box 6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8" name="Text Box 6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79" name="Text Box 6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0" name="Text Box 6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1" name="Text Box 6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2" name="Text Box 6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3" name="Text Box 6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4" name="Text Box 6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5" name="Text Box 6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6" name="Text Box 6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7" name="Text Box 6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8" name="Text Box 6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89" name="Text Box 6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0" name="Text Box 6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1" name="Text Box 6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2" name="Text Box 6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3" name="Text Box 7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4" name="Text Box 7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5" name="Text Box 7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6" name="Text Box 7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7" name="Text Box 7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8" name="Text Box 7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799" name="Text Box 7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0" name="Text Box 7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1" name="Text Box 7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2" name="Text Box 7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3" name="Text Box 7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4" name="Text Box 7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5" name="Text Box 7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6" name="Text Box 7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7" name="Text Box 7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8" name="Text Box 7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09" name="Text Box 7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0" name="Text Box 7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1" name="Text Box 7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2" name="Text Box 7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3" name="Text Box 7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4" name="Text Box 7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5" name="Text Box 7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6" name="Text Box 7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7" name="Text Box 7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8" name="Text Box 7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19" name="Text Box 7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0" name="Text Box 7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1" name="Text Box 7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2" name="Text Box 7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3" name="Text Box 7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4" name="Text Box 7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5" name="Text Box 7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6" name="Text Box 7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7" name="Text Box 7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8" name="Text Box 7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29" name="Text Box 7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0" name="Text Box 7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1" name="Text Box 7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2" name="Text Box 7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3" name="Text Box 7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4" name="Text Box 7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5" name="Text Box 7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6" name="Text Box 7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7" name="Text Box 7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8" name="Text Box 7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39" name="Text Box 7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0" name="Text Box 7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1" name="Text Box 7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2" name="Text Box 7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3" name="Text Box 7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4" name="Text Box 7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5" name="Text Box 7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6" name="Text Box 7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7" name="Text Box 7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8" name="Text Box 7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49" name="Text Box 7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0" name="Text Box 7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1" name="Text Box 7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2" name="Text Box 7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3" name="Text Box 7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4" name="Text Box 7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5" name="Text Box 7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6" name="Text Box 7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7" name="Text Box 7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8" name="Text Box 7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59" name="Text Box 7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0" name="Text Box 7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1" name="Text Box 7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2" name="Text Box 7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3" name="Text Box 7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4" name="Text Box 7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5" name="Text Box 7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6" name="Text Box 7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7" name="Text Box 7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8" name="Text Box 7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69" name="Text Box 7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0" name="Text Box 7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1" name="Text Box 7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2" name="Text Box 7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3" name="Text Box 7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4" name="Text Box 7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5" name="Text Box 7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6" name="Text Box 7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7" name="Text Box 7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8" name="Text Box 7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79" name="Text Box 7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0" name="Text Box 7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1" name="Text Box 7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2" name="Text Box 7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3" name="Text Box 7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4" name="Text Box 7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5" name="Text Box 7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6" name="Text Box 7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7" name="Text Box 7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8" name="Text Box 7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89" name="Text Box 7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0" name="Text Box 7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1" name="Text Box 7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2" name="Text Box 7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3" name="Text Box 8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4" name="Text Box 80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5" name="Text Box 80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6" name="Text Box 80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7" name="Text Box 80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8" name="Text Box 80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899" name="Text Box 80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0" name="Text Box 80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1" name="Text Box 80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2" name="Text Box 80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3" name="Text Box 81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4" name="Text Box 81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5" name="Text Box 81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6" name="Text Box 81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7" name="Text Box 81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8" name="Text Box 81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09" name="Text Box 81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0" name="Text Box 81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1" name="Text Box 81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2" name="Text Box 81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3" name="Text Box 82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4" name="Text Box 82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5" name="Text Box 82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6" name="Text Box 82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7" name="Text Box 82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8" name="Text Box 82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19" name="Text Box 82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0" name="Text Box 82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1" name="Text Box 82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2" name="Text Box 82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3" name="Text Box 83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4" name="Text Box 83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5" name="Text Box 83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6" name="Text Box 83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7" name="Text Box 83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8" name="Text Box 83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29" name="Text Box 83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0" name="Text Box 83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1" name="Text Box 83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2" name="Text Box 83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3" name="Text Box 84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4" name="Text Box 84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5" name="Text Box 84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6" name="Text Box 84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7" name="Text Box 84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8" name="Text Box 84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39" name="Text Box 84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0" name="Text Box 84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1" name="Text Box 84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2" name="Text Box 84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3" name="Text Box 85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4" name="Text Box 85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5" name="Text Box 85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6" name="Text Box 85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7" name="Text Box 85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8" name="Text Box 85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49" name="Text Box 85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0" name="Text Box 85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1" name="Text Box 85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2" name="Text Box 85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3" name="Text Box 86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4" name="Text Box 86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5" name="Text Box 86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6" name="Text Box 86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7" name="Text Box 86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8" name="Text Box 86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59" name="Text Box 86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0" name="Text Box 86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1" name="Text Box 86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2" name="Text Box 86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3" name="Text Box 87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4" name="Text Box 87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5" name="Text Box 87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6" name="Text Box 87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7" name="Text Box 87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8" name="Text Box 87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69" name="Text Box 87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0" name="Text Box 87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1" name="Text Box 87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2" name="Text Box 87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3" name="Text Box 88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4" name="Text Box 88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5" name="Text Box 88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6" name="Text Box 88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7" name="Text Box 88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8" name="Text Box 88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79" name="Text Box 88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0" name="Text Box 88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1" name="Text Box 88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2" name="Text Box 88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3" name="Text Box 89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4" name="Text Box 891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5" name="Text Box 892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6" name="Text Box 893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7" name="Text Box 894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8" name="Text Box 895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89" name="Text Box 896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90" name="Text Box 897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91" name="Text Box 898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92" name="Text Box 899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219075</xdr:colOff>
      <xdr:row>45</xdr:row>
      <xdr:rowOff>0</xdr:rowOff>
    </xdr:from>
    <xdr:ext cx="76200" cy="200025"/>
    <xdr:sp macro="" textlink="">
      <xdr:nvSpPr>
        <xdr:cNvPr id="2993" name="Text Box 900"/>
        <xdr:cNvSpPr txBox="1">
          <a:spLocks noChangeArrowheads="1"/>
        </xdr:cNvSpPr>
      </xdr:nvSpPr>
      <xdr:spPr bwMode="auto">
        <a:xfrm>
          <a:off x="6233795" y="28143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12</xdr:col>
      <xdr:colOff>0</xdr:colOff>
      <xdr:row>2</xdr:row>
      <xdr:rowOff>38100</xdr:rowOff>
    </xdr:from>
    <xdr:to>
      <xdr:col>17</xdr:col>
      <xdr:colOff>647700</xdr:colOff>
      <xdr:row>6</xdr:row>
      <xdr:rowOff>76200</xdr:rowOff>
    </xdr:to>
    <xdr:sp macro="" textlink="">
      <xdr:nvSpPr>
        <xdr:cNvPr id="2995" name="TextBox 2994"/>
        <xdr:cNvSpPr txBox="1"/>
      </xdr:nvSpPr>
      <xdr:spPr>
        <a:xfrm>
          <a:off x="12369800" y="749300"/>
          <a:ext cx="6159500" cy="66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Direct Age-Standardisation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package" Target="../embeddings/Microsoft_Word_Document6.docx"/><Relationship Id="rId18" Type="http://schemas.openxmlformats.org/officeDocument/2006/relationships/image" Target="../media/image8.emf"/><Relationship Id="rId26" Type="http://schemas.openxmlformats.org/officeDocument/2006/relationships/image" Target="../media/image12.emf"/><Relationship Id="rId3" Type="http://schemas.openxmlformats.org/officeDocument/2006/relationships/package" Target="../embeddings/Microsoft_Word_Document1.docx"/><Relationship Id="rId21" Type="http://schemas.openxmlformats.org/officeDocument/2006/relationships/package" Target="../embeddings/Microsoft_Word_Document10.docx"/><Relationship Id="rId7" Type="http://schemas.openxmlformats.org/officeDocument/2006/relationships/package" Target="../embeddings/Microsoft_Word_Document3.docx"/><Relationship Id="rId12" Type="http://schemas.openxmlformats.org/officeDocument/2006/relationships/image" Target="../media/image5.emf"/><Relationship Id="rId17" Type="http://schemas.openxmlformats.org/officeDocument/2006/relationships/package" Target="../embeddings/Microsoft_Word_Document8.docx"/><Relationship Id="rId25" Type="http://schemas.openxmlformats.org/officeDocument/2006/relationships/package" Target="../embeddings/Microsoft_Word_Document12.docx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20" Type="http://schemas.openxmlformats.org/officeDocument/2006/relationships/image" Target="../media/image9.emf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package" Target="../embeddings/Microsoft_Word_Document5.docx"/><Relationship Id="rId24" Type="http://schemas.openxmlformats.org/officeDocument/2006/relationships/image" Target="../media/image11.emf"/><Relationship Id="rId5" Type="http://schemas.openxmlformats.org/officeDocument/2006/relationships/package" Target="../embeddings/Microsoft_Word_Document2.docx"/><Relationship Id="rId15" Type="http://schemas.openxmlformats.org/officeDocument/2006/relationships/package" Target="../embeddings/Microsoft_Word_Document7.docx"/><Relationship Id="rId23" Type="http://schemas.openxmlformats.org/officeDocument/2006/relationships/package" Target="../embeddings/Microsoft_Word_Document11.docx"/><Relationship Id="rId10" Type="http://schemas.openxmlformats.org/officeDocument/2006/relationships/image" Target="../media/image4.emf"/><Relationship Id="rId19" Type="http://schemas.openxmlformats.org/officeDocument/2006/relationships/package" Target="../embeddings/Microsoft_Word_Document9.docx"/><Relationship Id="rId4" Type="http://schemas.openxmlformats.org/officeDocument/2006/relationships/image" Target="../media/image1.emf"/><Relationship Id="rId9" Type="http://schemas.openxmlformats.org/officeDocument/2006/relationships/package" Target="../embeddings/Microsoft_Word_Document4.docx"/><Relationship Id="rId14" Type="http://schemas.openxmlformats.org/officeDocument/2006/relationships/image" Target="../media/image6.emf"/><Relationship Id="rId22" Type="http://schemas.openxmlformats.org/officeDocument/2006/relationships/image" Target="../media/image10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ColWidth="11.44140625" defaultRowHeight="14.4"/>
  <sheetData/>
  <sheetProtection password="EC91" sheet="1" objects="1" scenarios="1"/>
  <pageMargins left="0.75" right="0.75" top="1" bottom="1" header="0.5" footer="0.5"/>
  <pageSetup paperSize="9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Document" shapeId="7169" r:id="rId3">
          <objectPr defaultSize="0" r:id="rId4">
            <anchor moveWithCells="1">
              <from>
                <xdr:col>1</xdr:col>
                <xdr:colOff>0</xdr:colOff>
                <xdr:row>6</xdr:row>
                <xdr:rowOff>38100</xdr:rowOff>
              </from>
              <to>
                <xdr:col>11</xdr:col>
                <xdr:colOff>609600</xdr:colOff>
                <xdr:row>29</xdr:row>
                <xdr:rowOff>106680</xdr:rowOff>
              </to>
            </anchor>
          </objectPr>
        </oleObject>
      </mc:Choice>
      <mc:Fallback>
        <oleObject progId="Document" shapeId="7169" r:id="rId3"/>
      </mc:Fallback>
    </mc:AlternateContent>
    <mc:AlternateContent xmlns:mc="http://schemas.openxmlformats.org/markup-compatibility/2006">
      <mc:Choice Requires="x14">
        <oleObject progId="Document" shapeId="7170" r:id="rId5">
          <objectPr defaultSize="0" r:id="rId6">
            <anchor moveWithCells="1">
              <from>
                <xdr:col>1</xdr:col>
                <xdr:colOff>0</xdr:colOff>
                <xdr:row>29</xdr:row>
                <xdr:rowOff>106680</xdr:rowOff>
              </from>
              <to>
                <xdr:col>11</xdr:col>
                <xdr:colOff>609600</xdr:colOff>
                <xdr:row>64</xdr:row>
                <xdr:rowOff>0</xdr:rowOff>
              </to>
            </anchor>
          </objectPr>
        </oleObject>
      </mc:Choice>
      <mc:Fallback>
        <oleObject progId="Document" shapeId="7170" r:id="rId5"/>
      </mc:Fallback>
    </mc:AlternateContent>
    <mc:AlternateContent xmlns:mc="http://schemas.openxmlformats.org/markup-compatibility/2006">
      <mc:Choice Requires="x14">
        <oleObject progId="Document" shapeId="7171" r:id="rId7">
          <objectPr defaultSize="0" r:id="rId8">
            <anchor moveWithCells="1">
              <from>
                <xdr:col>1</xdr:col>
                <xdr:colOff>0</xdr:colOff>
                <xdr:row>65</xdr:row>
                <xdr:rowOff>121920</xdr:rowOff>
              </from>
              <to>
                <xdr:col>11</xdr:col>
                <xdr:colOff>609600</xdr:colOff>
                <xdr:row>81</xdr:row>
                <xdr:rowOff>38100</xdr:rowOff>
              </to>
            </anchor>
          </objectPr>
        </oleObject>
      </mc:Choice>
      <mc:Fallback>
        <oleObject progId="Document" shapeId="7171" r:id="rId7"/>
      </mc:Fallback>
    </mc:AlternateContent>
    <mc:AlternateContent xmlns:mc="http://schemas.openxmlformats.org/markup-compatibility/2006">
      <mc:Choice Requires="x14">
        <oleObject progId="Document" shapeId="7172" r:id="rId9">
          <objectPr defaultSize="0" r:id="rId10">
            <anchor moveWithCells="1">
              <from>
                <xdr:col>1</xdr:col>
                <xdr:colOff>0</xdr:colOff>
                <xdr:row>80</xdr:row>
                <xdr:rowOff>7620</xdr:rowOff>
              </from>
              <to>
                <xdr:col>11</xdr:col>
                <xdr:colOff>609600</xdr:colOff>
                <xdr:row>110</xdr:row>
                <xdr:rowOff>7620</xdr:rowOff>
              </to>
            </anchor>
          </objectPr>
        </oleObject>
      </mc:Choice>
      <mc:Fallback>
        <oleObject progId="Document" shapeId="7172" r:id="rId9"/>
      </mc:Fallback>
    </mc:AlternateContent>
    <mc:AlternateContent xmlns:mc="http://schemas.openxmlformats.org/markup-compatibility/2006">
      <mc:Choice Requires="x14">
        <oleObject progId="Document" shapeId="7173" r:id="rId11">
          <objectPr defaultSize="0" r:id="rId12">
            <anchor moveWithCells="1">
              <from>
                <xdr:col>1</xdr:col>
                <xdr:colOff>0</xdr:colOff>
                <xdr:row>111</xdr:row>
                <xdr:rowOff>114300</xdr:rowOff>
              </from>
              <to>
                <xdr:col>11</xdr:col>
                <xdr:colOff>609600</xdr:colOff>
                <xdr:row>121</xdr:row>
                <xdr:rowOff>152400</xdr:rowOff>
              </to>
            </anchor>
          </objectPr>
        </oleObject>
      </mc:Choice>
      <mc:Fallback>
        <oleObject progId="Document" shapeId="7173" r:id="rId11"/>
      </mc:Fallback>
    </mc:AlternateContent>
    <mc:AlternateContent xmlns:mc="http://schemas.openxmlformats.org/markup-compatibility/2006">
      <mc:Choice Requires="x14">
        <oleObject progId="Document" shapeId="7174" r:id="rId13">
          <objectPr defaultSize="0" r:id="rId14">
            <anchor moveWithCells="1">
              <from>
                <xdr:col>0</xdr:col>
                <xdr:colOff>807720</xdr:colOff>
                <xdr:row>122</xdr:row>
                <xdr:rowOff>30480</xdr:rowOff>
              </from>
              <to>
                <xdr:col>12</xdr:col>
                <xdr:colOff>76200</xdr:colOff>
                <xdr:row>154</xdr:row>
                <xdr:rowOff>114300</xdr:rowOff>
              </to>
            </anchor>
          </objectPr>
        </oleObject>
      </mc:Choice>
      <mc:Fallback>
        <oleObject progId="Document" shapeId="7174" r:id="rId13"/>
      </mc:Fallback>
    </mc:AlternateContent>
    <mc:AlternateContent xmlns:mc="http://schemas.openxmlformats.org/markup-compatibility/2006">
      <mc:Choice Requires="x14">
        <oleObject progId="Document" shapeId="7175" r:id="rId15">
          <objectPr defaultSize="0" r:id="rId16">
            <anchor moveWithCells="1">
              <from>
                <xdr:col>0</xdr:col>
                <xdr:colOff>807720</xdr:colOff>
                <xdr:row>154</xdr:row>
                <xdr:rowOff>114300</xdr:rowOff>
              </from>
              <to>
                <xdr:col>12</xdr:col>
                <xdr:colOff>76200</xdr:colOff>
                <xdr:row>187</xdr:row>
                <xdr:rowOff>45720</xdr:rowOff>
              </to>
            </anchor>
          </objectPr>
        </oleObject>
      </mc:Choice>
      <mc:Fallback>
        <oleObject progId="Document" shapeId="7175" r:id="rId15"/>
      </mc:Fallback>
    </mc:AlternateContent>
    <mc:AlternateContent xmlns:mc="http://schemas.openxmlformats.org/markup-compatibility/2006">
      <mc:Choice Requires="x14">
        <oleObject progId="Document" shapeId="7177" r:id="rId17">
          <objectPr defaultSize="0" r:id="rId18">
            <anchor moveWithCells="1">
              <from>
                <xdr:col>0</xdr:col>
                <xdr:colOff>807720</xdr:colOff>
                <xdr:row>210</xdr:row>
                <xdr:rowOff>76200</xdr:rowOff>
              </from>
              <to>
                <xdr:col>12</xdr:col>
                <xdr:colOff>76200</xdr:colOff>
                <xdr:row>228</xdr:row>
                <xdr:rowOff>152400</xdr:rowOff>
              </to>
            </anchor>
          </objectPr>
        </oleObject>
      </mc:Choice>
      <mc:Fallback>
        <oleObject progId="Document" shapeId="7177" r:id="rId17"/>
      </mc:Fallback>
    </mc:AlternateContent>
    <mc:AlternateContent xmlns:mc="http://schemas.openxmlformats.org/markup-compatibility/2006">
      <mc:Choice Requires="x14">
        <oleObject progId="Document" shapeId="7178" r:id="rId19">
          <objectPr defaultSize="0" r:id="rId20">
            <anchor moveWithCells="1">
              <from>
                <xdr:col>0</xdr:col>
                <xdr:colOff>807720</xdr:colOff>
                <xdr:row>229</xdr:row>
                <xdr:rowOff>7620</xdr:rowOff>
              </from>
              <to>
                <xdr:col>12</xdr:col>
                <xdr:colOff>76200</xdr:colOff>
                <xdr:row>257</xdr:row>
                <xdr:rowOff>38100</xdr:rowOff>
              </to>
            </anchor>
          </objectPr>
        </oleObject>
      </mc:Choice>
      <mc:Fallback>
        <oleObject progId="Document" shapeId="7178" r:id="rId19"/>
      </mc:Fallback>
    </mc:AlternateContent>
    <mc:AlternateContent xmlns:mc="http://schemas.openxmlformats.org/markup-compatibility/2006">
      <mc:Choice Requires="x14">
        <oleObject progId="Document" shapeId="7180" r:id="rId21">
          <objectPr defaultSize="0" r:id="rId22">
            <anchor moveWithCells="1">
              <from>
                <xdr:col>1</xdr:col>
                <xdr:colOff>0</xdr:colOff>
                <xdr:row>293</xdr:row>
                <xdr:rowOff>38100</xdr:rowOff>
              </from>
              <to>
                <xdr:col>12</xdr:col>
                <xdr:colOff>182880</xdr:colOff>
                <xdr:row>314</xdr:row>
                <xdr:rowOff>160020</xdr:rowOff>
              </to>
            </anchor>
          </objectPr>
        </oleObject>
      </mc:Choice>
      <mc:Fallback>
        <oleObject progId="Document" shapeId="7180" r:id="rId21"/>
      </mc:Fallback>
    </mc:AlternateContent>
    <mc:AlternateContent xmlns:mc="http://schemas.openxmlformats.org/markup-compatibility/2006">
      <mc:Choice Requires="x14">
        <oleObject progId="Document" shapeId="7182" r:id="rId23">
          <objectPr defaultSize="0" r:id="rId24">
            <anchor moveWithCells="1">
              <from>
                <xdr:col>1</xdr:col>
                <xdr:colOff>0</xdr:colOff>
                <xdr:row>258</xdr:row>
                <xdr:rowOff>160020</xdr:rowOff>
              </from>
              <to>
                <xdr:col>12</xdr:col>
                <xdr:colOff>152400</xdr:colOff>
                <xdr:row>291</xdr:row>
                <xdr:rowOff>76200</xdr:rowOff>
              </to>
            </anchor>
          </objectPr>
        </oleObject>
      </mc:Choice>
      <mc:Fallback>
        <oleObject progId="Document" shapeId="7182" r:id="rId23"/>
      </mc:Fallback>
    </mc:AlternateContent>
    <mc:AlternateContent xmlns:mc="http://schemas.openxmlformats.org/markup-compatibility/2006">
      <mc:Choice Requires="x14">
        <oleObject progId="Document" shapeId="7183" r:id="rId25">
          <objectPr defaultSize="0" r:id="rId26">
            <anchor moveWithCells="1">
              <from>
                <xdr:col>0</xdr:col>
                <xdr:colOff>807720</xdr:colOff>
                <xdr:row>186</xdr:row>
                <xdr:rowOff>45720</xdr:rowOff>
              </from>
              <to>
                <xdr:col>12</xdr:col>
                <xdr:colOff>76200</xdr:colOff>
                <xdr:row>210</xdr:row>
                <xdr:rowOff>45720</xdr:rowOff>
              </to>
            </anchor>
          </objectPr>
        </oleObject>
      </mc:Choice>
      <mc:Fallback>
        <oleObject progId="Document" shapeId="7183" r:id="rId2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55"/>
  <sheetViews>
    <sheetView tabSelected="1" topLeftCell="A13" workbookViewId="0">
      <selection activeCell="J36" sqref="J36"/>
    </sheetView>
  </sheetViews>
  <sheetFormatPr defaultColWidth="8.88671875" defaultRowHeight="14.4"/>
  <cols>
    <col min="2" max="2" width="12.6640625" customWidth="1"/>
    <col min="4" max="4" width="3.44140625" style="5" customWidth="1"/>
    <col min="5" max="5" width="10.88671875" customWidth="1"/>
    <col min="6" max="6" width="7" customWidth="1"/>
    <col min="7" max="7" width="14.109375" customWidth="1"/>
    <col min="8" max="9" width="6.44140625" customWidth="1"/>
    <col min="10" max="11" width="11.6640625" customWidth="1"/>
    <col min="21" max="21" width="9.88671875" customWidth="1"/>
  </cols>
  <sheetData>
    <row r="1" spans="1:29" s="5" customFormat="1" ht="9.9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5" customFormat="1" ht="45.9" customHeight="1">
      <c r="A2" s="19"/>
      <c r="B2" s="20" t="s">
        <v>183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s="17" customFormat="1" ht="6.9" customHeight="1">
      <c r="C3" s="15"/>
      <c r="O3" s="5"/>
    </row>
    <row r="4" spans="1:29" s="17" customFormat="1">
      <c r="B4" s="3" t="s">
        <v>56</v>
      </c>
      <c r="C4" s="4"/>
      <c r="D4" s="23"/>
      <c r="E4" s="3" t="s">
        <v>57</v>
      </c>
      <c r="F4" s="3" t="s">
        <v>58</v>
      </c>
      <c r="G4" s="155" t="s">
        <v>50</v>
      </c>
      <c r="H4" s="155"/>
      <c r="I4" s="155"/>
      <c r="J4" s="155"/>
      <c r="K4" s="155"/>
      <c r="L4" s="155"/>
    </row>
    <row r="5" spans="1:29" s="17" customFormat="1">
      <c r="B5" s="3"/>
      <c r="C5" s="23"/>
      <c r="D5" s="23"/>
      <c r="F5" s="3" t="s">
        <v>59</v>
      </c>
      <c r="G5" s="155" t="s">
        <v>62</v>
      </c>
      <c r="H5" s="155"/>
      <c r="I5" s="155"/>
      <c r="J5" s="155"/>
      <c r="K5" s="155"/>
      <c r="L5" s="155"/>
    </row>
    <row r="6" spans="1:29" s="17" customFormat="1">
      <c r="B6" s="3"/>
      <c r="C6" s="23"/>
      <c r="D6" s="23"/>
      <c r="F6" s="3" t="s">
        <v>60</v>
      </c>
      <c r="G6" s="155" t="s">
        <v>44</v>
      </c>
      <c r="H6" s="155"/>
      <c r="I6" s="155"/>
      <c r="J6" s="155"/>
      <c r="K6" s="155"/>
      <c r="L6" s="155"/>
    </row>
    <row r="7" spans="1:29" s="17" customFormat="1" ht="6.9" customHeight="1">
      <c r="C7" s="15"/>
      <c r="O7" s="5"/>
    </row>
    <row r="8" spans="1:29" s="22" customFormat="1" ht="20.100000000000001" customHeight="1">
      <c r="A8" s="21"/>
      <c r="B8" s="21" t="s">
        <v>61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</row>
    <row r="9" spans="1:29" s="17" customFormat="1">
      <c r="D9" s="5"/>
    </row>
    <row r="10" spans="1:29" ht="21">
      <c r="B10" s="26" t="s">
        <v>38</v>
      </c>
    </row>
    <row r="11" spans="1:29" ht="18">
      <c r="B11" s="25" t="s">
        <v>41</v>
      </c>
    </row>
    <row r="12" spans="1:29">
      <c r="B12" s="3" t="s">
        <v>51</v>
      </c>
      <c r="C12" s="3"/>
      <c r="D12" s="6"/>
    </row>
    <row r="13" spans="1:29">
      <c r="D13" s="6"/>
      <c r="U13" s="3"/>
    </row>
    <row r="14" spans="1:29" ht="14.1" customHeight="1">
      <c r="B14" s="12"/>
      <c r="C14" s="154" t="s">
        <v>36</v>
      </c>
      <c r="D14" s="154"/>
      <c r="E14" s="154"/>
      <c r="F14" s="12"/>
      <c r="G14" s="150" t="s">
        <v>64</v>
      </c>
      <c r="H14" s="12"/>
      <c r="I14" s="12"/>
      <c r="J14" s="12"/>
      <c r="K14" s="12"/>
      <c r="U14" s="2"/>
      <c r="V14" s="2"/>
      <c r="W14" s="2"/>
      <c r="X14" s="2"/>
    </row>
    <row r="15" spans="1:29">
      <c r="B15" s="150" t="s">
        <v>176</v>
      </c>
      <c r="C15" s="152" t="s">
        <v>19</v>
      </c>
      <c r="D15" s="36"/>
      <c r="E15" s="150" t="s">
        <v>177</v>
      </c>
      <c r="F15" s="12"/>
      <c r="G15" s="150"/>
      <c r="H15" s="12"/>
      <c r="I15" s="12"/>
      <c r="J15" s="12"/>
      <c r="K15" s="12"/>
      <c r="U15" s="13"/>
      <c r="V15" s="13"/>
      <c r="W15" s="13"/>
      <c r="X15" s="13"/>
      <c r="Y15" s="5"/>
      <c r="Z15" s="5"/>
      <c r="AA15" s="5"/>
      <c r="AB15" s="5"/>
    </row>
    <row r="16" spans="1:29">
      <c r="B16" s="151"/>
      <c r="C16" s="153"/>
      <c r="D16" s="27"/>
      <c r="E16" s="151"/>
      <c r="F16" s="47"/>
      <c r="G16" s="151"/>
      <c r="H16" s="12"/>
      <c r="I16" s="12"/>
      <c r="J16" s="163" t="s">
        <v>29</v>
      </c>
      <c r="K16" s="163"/>
      <c r="U16" s="5"/>
    </row>
    <row r="17" spans="2:34">
      <c r="B17" s="12"/>
      <c r="C17" s="12"/>
      <c r="D17" s="7"/>
      <c r="E17" s="12"/>
      <c r="F17" s="12"/>
      <c r="G17" s="12"/>
      <c r="H17" s="12"/>
      <c r="I17" s="12"/>
      <c r="J17" s="154" t="s">
        <v>36</v>
      </c>
      <c r="K17" s="154"/>
      <c r="U17" s="6"/>
    </row>
    <row r="18" spans="2:34" ht="14.1" customHeight="1">
      <c r="B18" s="84" t="s">
        <v>17</v>
      </c>
      <c r="C18" s="137">
        <v>21</v>
      </c>
      <c r="D18" s="36"/>
      <c r="E18" s="137">
        <v>13663</v>
      </c>
      <c r="F18" s="12"/>
      <c r="G18" s="16">
        <v>8.86</v>
      </c>
      <c r="H18" s="12"/>
      <c r="I18" s="12"/>
      <c r="J18" s="158" t="s">
        <v>68</v>
      </c>
      <c r="K18" s="161" t="s">
        <v>30</v>
      </c>
      <c r="U18" s="13"/>
      <c r="AF18" s="3"/>
    </row>
    <row r="19" spans="2:34">
      <c r="B19" s="92" t="s">
        <v>1</v>
      </c>
      <c r="C19" s="137">
        <v>2</v>
      </c>
      <c r="D19" s="36"/>
      <c r="E19" s="137">
        <v>15519</v>
      </c>
      <c r="F19" s="12"/>
      <c r="G19" s="16">
        <v>8.69</v>
      </c>
      <c r="H19" s="12"/>
      <c r="I19" s="12"/>
      <c r="J19" s="159"/>
      <c r="K19" s="162"/>
      <c r="U19" s="13"/>
    </row>
    <row r="20" spans="2:34">
      <c r="B20" s="92" t="s">
        <v>2</v>
      </c>
      <c r="C20" s="137">
        <v>4</v>
      </c>
      <c r="D20" s="36"/>
      <c r="E20" s="137">
        <v>16409</v>
      </c>
      <c r="F20" s="12"/>
      <c r="G20" s="16">
        <v>8.6</v>
      </c>
      <c r="H20" s="12"/>
      <c r="I20" s="12"/>
      <c r="J20" s="138">
        <v>3</v>
      </c>
      <c r="K20" s="138">
        <v>26500</v>
      </c>
      <c r="U20" s="13"/>
      <c r="AF20" s="2"/>
      <c r="AG20" s="2"/>
      <c r="AH20" s="2"/>
    </row>
    <row r="21" spans="2:34" ht="15" customHeight="1">
      <c r="B21" s="84" t="s">
        <v>3</v>
      </c>
      <c r="C21" s="137">
        <v>9</v>
      </c>
      <c r="D21" s="36"/>
      <c r="E21" s="137">
        <v>16133</v>
      </c>
      <c r="F21" s="12"/>
      <c r="G21" s="16">
        <v>8.4700000000000006</v>
      </c>
      <c r="H21" s="12"/>
      <c r="I21" s="12"/>
      <c r="J21" s="12"/>
      <c r="K21" s="12"/>
      <c r="U21" s="13"/>
      <c r="AF21" s="2"/>
      <c r="AG21" s="2"/>
      <c r="AH21" s="2"/>
    </row>
    <row r="22" spans="2:34" ht="15" customHeight="1">
      <c r="B22" s="84" t="s">
        <v>4</v>
      </c>
      <c r="C22" s="137">
        <v>21</v>
      </c>
      <c r="D22" s="36"/>
      <c r="E22" s="137">
        <v>21482</v>
      </c>
      <c r="F22" s="12"/>
      <c r="G22" s="16">
        <v>8.2200000000000006</v>
      </c>
      <c r="H22" s="12"/>
      <c r="I22" s="12"/>
      <c r="J22" s="12"/>
      <c r="K22" s="12"/>
      <c r="U22" s="5"/>
      <c r="AF22" s="2"/>
      <c r="AG22" s="2"/>
      <c r="AH22" s="2"/>
    </row>
    <row r="23" spans="2:34" ht="15" customHeight="1">
      <c r="B23" s="84" t="s">
        <v>5</v>
      </c>
      <c r="C23" s="137">
        <v>22</v>
      </c>
      <c r="D23" s="36"/>
      <c r="E23" s="137">
        <v>15997</v>
      </c>
      <c r="F23" s="12"/>
      <c r="G23" s="16">
        <v>7.93</v>
      </c>
      <c r="H23" s="12"/>
      <c r="I23" s="12"/>
      <c r="J23" s="160" t="s">
        <v>32</v>
      </c>
      <c r="K23" s="160"/>
      <c r="U23" s="14"/>
    </row>
    <row r="24" spans="2:34" ht="14.1" customHeight="1">
      <c r="B24" s="84" t="s">
        <v>6</v>
      </c>
      <c r="C24" s="137">
        <v>35</v>
      </c>
      <c r="D24" s="36"/>
      <c r="E24" s="137">
        <v>16026</v>
      </c>
      <c r="F24" s="12"/>
      <c r="G24" s="16">
        <v>7.61</v>
      </c>
      <c r="H24" s="12"/>
      <c r="I24" s="12"/>
      <c r="J24" s="160"/>
      <c r="K24" s="160"/>
      <c r="U24" s="6"/>
    </row>
    <row r="25" spans="2:34">
      <c r="B25" s="84" t="s">
        <v>7</v>
      </c>
      <c r="C25" s="137">
        <v>34</v>
      </c>
      <c r="D25" s="36"/>
      <c r="E25" s="137">
        <v>19800</v>
      </c>
      <c r="F25" s="12"/>
      <c r="G25" s="16">
        <v>7.15</v>
      </c>
      <c r="H25" s="12"/>
      <c r="I25" s="12"/>
      <c r="J25" s="154" t="s">
        <v>36</v>
      </c>
      <c r="K25" s="154"/>
      <c r="U25" s="8"/>
    </row>
    <row r="26" spans="2:34" ht="14.1" customHeight="1">
      <c r="B26" s="84" t="s">
        <v>8</v>
      </c>
      <c r="C26" s="137">
        <v>39</v>
      </c>
      <c r="D26" s="36"/>
      <c r="E26" s="137">
        <v>16076</v>
      </c>
      <c r="F26" s="12"/>
      <c r="G26" s="16">
        <v>6.59</v>
      </c>
      <c r="H26" s="12"/>
      <c r="I26" s="12"/>
      <c r="J26" s="158" t="s">
        <v>67</v>
      </c>
      <c r="K26" s="156" t="s">
        <v>66</v>
      </c>
      <c r="U26" s="15"/>
    </row>
    <row r="27" spans="2:34">
      <c r="B27" s="84" t="s">
        <v>9</v>
      </c>
      <c r="C27" s="137">
        <v>59</v>
      </c>
      <c r="D27" s="36"/>
      <c r="E27" s="137">
        <v>13404</v>
      </c>
      <c r="F27" s="12"/>
      <c r="G27" s="16">
        <v>6.04</v>
      </c>
      <c r="H27" s="12"/>
      <c r="I27" s="12"/>
      <c r="J27" s="158"/>
      <c r="K27" s="156"/>
      <c r="U27" s="15"/>
    </row>
    <row r="28" spans="2:34">
      <c r="B28" s="84" t="s">
        <v>10</v>
      </c>
      <c r="C28" s="137">
        <v>108</v>
      </c>
      <c r="D28" s="36"/>
      <c r="E28" s="137">
        <v>13027</v>
      </c>
      <c r="F28" s="12"/>
      <c r="G28" s="16">
        <v>5.37</v>
      </c>
      <c r="H28" s="12"/>
      <c r="I28" s="12"/>
      <c r="J28" s="159"/>
      <c r="K28" s="157"/>
      <c r="U28" s="15"/>
    </row>
    <row r="29" spans="2:34">
      <c r="B29" s="84" t="s">
        <v>11</v>
      </c>
      <c r="C29" s="137">
        <v>136</v>
      </c>
      <c r="D29" s="36"/>
      <c r="E29" s="137">
        <v>10051</v>
      </c>
      <c r="F29" s="12"/>
      <c r="G29" s="16">
        <v>4.55</v>
      </c>
      <c r="H29" s="12"/>
      <c r="I29" s="12"/>
      <c r="J29" s="138">
        <v>54</v>
      </c>
      <c r="K29" s="138">
        <v>165</v>
      </c>
      <c r="U29" s="15"/>
    </row>
    <row r="30" spans="2:34">
      <c r="B30" s="84" t="s">
        <v>12</v>
      </c>
      <c r="C30" s="137">
        <v>176</v>
      </c>
      <c r="D30" s="36"/>
      <c r="E30" s="137">
        <v>10220</v>
      </c>
      <c r="F30" s="12"/>
      <c r="G30" s="16">
        <v>3.72</v>
      </c>
      <c r="H30" s="12"/>
      <c r="I30" s="12"/>
      <c r="J30" s="12"/>
      <c r="K30" s="12"/>
      <c r="U30" s="15"/>
    </row>
    <row r="31" spans="2:34">
      <c r="B31" s="84" t="s">
        <v>13</v>
      </c>
      <c r="C31" s="137">
        <v>320</v>
      </c>
      <c r="D31" s="36"/>
      <c r="E31" s="137">
        <v>9190</v>
      </c>
      <c r="F31" s="12"/>
      <c r="G31" s="16">
        <v>2.96</v>
      </c>
      <c r="H31" s="12"/>
      <c r="I31" s="12"/>
      <c r="J31" s="12"/>
      <c r="K31" s="12"/>
      <c r="U31" s="5"/>
    </row>
    <row r="32" spans="2:34">
      <c r="B32" s="84" t="s">
        <v>14</v>
      </c>
      <c r="C32" s="137">
        <v>445</v>
      </c>
      <c r="D32" s="36"/>
      <c r="E32" s="137">
        <v>7427</v>
      </c>
      <c r="F32" s="12"/>
      <c r="G32" s="16">
        <v>2.21</v>
      </c>
      <c r="H32" s="12"/>
      <c r="I32" s="12"/>
      <c r="J32" s="12"/>
      <c r="K32" s="12"/>
      <c r="U32" s="6"/>
    </row>
    <row r="33" spans="2:28">
      <c r="B33" s="84" t="s">
        <v>130</v>
      </c>
      <c r="C33" s="137">
        <v>1116</v>
      </c>
      <c r="D33" s="36"/>
      <c r="E33" s="137">
        <v>9955</v>
      </c>
      <c r="F33" s="12"/>
      <c r="G33" s="16">
        <v>3.03</v>
      </c>
      <c r="H33" s="12"/>
      <c r="I33" s="12"/>
      <c r="J33" s="12"/>
      <c r="K33" s="12"/>
      <c r="U33" s="8"/>
    </row>
    <row r="34" spans="2:28" s="17" customFormat="1">
      <c r="B34" s="12"/>
      <c r="C34" s="12"/>
      <c r="D34" s="36"/>
      <c r="E34" s="86"/>
      <c r="F34" s="7"/>
      <c r="G34" s="36"/>
      <c r="H34" s="12"/>
      <c r="I34" s="12"/>
      <c r="J34" s="12"/>
      <c r="K34" s="12"/>
      <c r="U34" s="8"/>
    </row>
    <row r="35" spans="2:28" s="17" customFormat="1">
      <c r="B35" s="84" t="s">
        <v>192</v>
      </c>
      <c r="C35" s="137">
        <v>255</v>
      </c>
      <c r="D35" s="36"/>
      <c r="E35" s="86"/>
      <c r="F35" s="7"/>
      <c r="G35" s="36"/>
      <c r="H35" s="12"/>
      <c r="I35" s="12"/>
      <c r="J35" s="12"/>
      <c r="K35" s="12"/>
      <c r="U35" s="8"/>
    </row>
    <row r="36" spans="2:28">
      <c r="B36" s="84"/>
      <c r="C36" s="103"/>
      <c r="D36" s="36"/>
      <c r="E36" s="103"/>
      <c r="F36" s="12"/>
      <c r="G36" s="41"/>
      <c r="H36" s="12"/>
      <c r="I36" s="12"/>
      <c r="J36" s="12"/>
      <c r="K36" s="12"/>
      <c r="U36" s="15"/>
    </row>
    <row r="37" spans="2:28">
      <c r="B37" s="94" t="s">
        <v>65</v>
      </c>
      <c r="C37" s="139">
        <f>Calcs!H34</f>
        <v>2802</v>
      </c>
      <c r="D37" s="136"/>
      <c r="E37" s="139">
        <f>Calcs!F34</f>
        <v>224379</v>
      </c>
      <c r="F37" s="55"/>
      <c r="G37" s="37">
        <f>SUM(G18:G33)</f>
        <v>100</v>
      </c>
      <c r="H37" s="12"/>
      <c r="I37" s="12"/>
      <c r="J37" s="12"/>
      <c r="K37" s="12"/>
      <c r="U37" s="15"/>
    </row>
    <row r="38" spans="2:28">
      <c r="B38" s="12"/>
      <c r="C38" s="103"/>
      <c r="D38" s="36"/>
      <c r="E38" s="103"/>
      <c r="F38" s="12"/>
      <c r="G38" s="12"/>
      <c r="H38" s="12"/>
      <c r="I38" s="12"/>
      <c r="J38" s="12"/>
      <c r="K38" s="12"/>
      <c r="U38" s="15"/>
    </row>
    <row r="39" spans="2:28">
      <c r="G39" s="17"/>
      <c r="U39" s="15"/>
      <c r="AA39" s="5"/>
      <c r="AB39" s="5"/>
    </row>
    <row r="40" spans="2:28">
      <c r="U40" s="15"/>
      <c r="AA40" s="5"/>
      <c r="AB40" s="5"/>
    </row>
    <row r="41" spans="2:28">
      <c r="U41" s="5"/>
      <c r="AA41" s="5"/>
      <c r="AB41" s="5"/>
    </row>
    <row r="42" spans="2:28">
      <c r="D42"/>
    </row>
    <row r="43" spans="2:28">
      <c r="D43" s="2"/>
    </row>
    <row r="47" spans="2:28">
      <c r="D47"/>
    </row>
    <row r="50" spans="4:6">
      <c r="D50" s="10"/>
      <c r="E50" s="10"/>
      <c r="F50" s="9"/>
    </row>
    <row r="51" spans="4:6">
      <c r="D51" s="10"/>
      <c r="E51" s="10"/>
      <c r="F51" s="9"/>
    </row>
    <row r="52" spans="4:6">
      <c r="D52"/>
    </row>
    <row r="53" spans="4:6">
      <c r="D53"/>
    </row>
    <row r="54" spans="4:6">
      <c r="D54"/>
    </row>
    <row r="55" spans="4:6">
      <c r="D55"/>
    </row>
  </sheetData>
  <mergeCells count="16">
    <mergeCell ref="G4:L4"/>
    <mergeCell ref="G5:L5"/>
    <mergeCell ref="G6:L6"/>
    <mergeCell ref="J25:K25"/>
    <mergeCell ref="K26:K28"/>
    <mergeCell ref="J26:J28"/>
    <mergeCell ref="J23:K24"/>
    <mergeCell ref="K18:K19"/>
    <mergeCell ref="J18:J19"/>
    <mergeCell ref="J17:K17"/>
    <mergeCell ref="J16:K16"/>
    <mergeCell ref="B15:B16"/>
    <mergeCell ref="C15:C16"/>
    <mergeCell ref="E15:E16"/>
    <mergeCell ref="C14:E14"/>
    <mergeCell ref="G14:G16"/>
  </mergeCells>
  <phoneticPr fontId="4" type="noConversion"/>
  <pageMargins left="0.70000000000000007" right="0.70000000000000007" top="0.75000000000000011" bottom="0.75000000000000011" header="0.30000000000000004" footer="0.30000000000000004"/>
  <pageSetup paperSize="9" orientation="landscape"/>
  <ignoredErrors>
    <ignoredError sqref="B20" twoDigitTextYear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64"/>
  <sheetViews>
    <sheetView workbookViewId="0">
      <selection activeCell="A5" sqref="A5"/>
    </sheetView>
  </sheetViews>
  <sheetFormatPr defaultColWidth="8.88671875" defaultRowHeight="14.4"/>
  <cols>
    <col min="2" max="2" width="11.109375" customWidth="1"/>
    <col min="3" max="3" width="9.88671875" customWidth="1"/>
    <col min="4" max="4" width="2.44140625" customWidth="1"/>
    <col min="5" max="7" width="12.33203125" customWidth="1"/>
    <col min="10" max="10" width="4.88671875" customWidth="1"/>
    <col min="19" max="19" width="4.88671875" customWidth="1"/>
    <col min="20" max="20" width="14.6640625" style="17" customWidth="1"/>
    <col min="21" max="21" width="12.109375" customWidth="1"/>
    <col min="22" max="22" width="10.109375" customWidth="1"/>
    <col min="23" max="23" width="10.88671875" customWidth="1"/>
    <col min="24" max="24" width="3.88671875" customWidth="1"/>
    <col min="26" max="26" width="3.44140625" customWidth="1"/>
  </cols>
  <sheetData>
    <row r="1" spans="1:74" s="5" customFormat="1" ht="9.9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1:74" s="5" customFormat="1" ht="45.9" customHeight="1">
      <c r="A2" s="19"/>
      <c r="B2" s="20" t="s">
        <v>184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 s="17" customFormat="1" ht="6.9" customHeight="1">
      <c r="C3" s="15"/>
      <c r="O3" s="5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 s="17" customFormat="1">
      <c r="B4" s="15" t="s">
        <v>22</v>
      </c>
      <c r="C4" s="11"/>
      <c r="E4" s="3" t="s">
        <v>57</v>
      </c>
      <c r="F4" s="3" t="s">
        <v>58</v>
      </c>
      <c r="G4" s="184" t="str">
        <f>'Data Entry'!G4</f>
        <v>Pacific Island</v>
      </c>
      <c r="H4" s="184"/>
      <c r="I4" s="184"/>
      <c r="J4" s="184"/>
      <c r="K4" s="184"/>
      <c r="L4" s="184"/>
      <c r="O4" s="5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 s="17" customFormat="1">
      <c r="B5" s="15"/>
      <c r="C5" s="15"/>
      <c r="F5" s="3" t="s">
        <v>59</v>
      </c>
      <c r="G5" s="184" t="str">
        <f>'Data Entry'!G5</f>
        <v>Males</v>
      </c>
      <c r="H5" s="184"/>
      <c r="I5" s="184"/>
      <c r="J5" s="184"/>
      <c r="K5" s="184"/>
      <c r="L5" s="184"/>
      <c r="O5" s="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 s="17" customFormat="1">
      <c r="B6" s="15"/>
      <c r="C6" s="15"/>
      <c r="F6" s="3" t="s">
        <v>60</v>
      </c>
      <c r="G6" s="184" t="str">
        <f>'Data Entry'!G6</f>
        <v>2010-2013</v>
      </c>
      <c r="H6" s="184"/>
      <c r="I6" s="184"/>
      <c r="J6" s="184"/>
      <c r="K6" s="184"/>
      <c r="L6" s="184"/>
      <c r="O6" s="5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 s="17" customFormat="1" ht="6.9" customHeight="1">
      <c r="C7" s="15"/>
      <c r="O7" s="5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 s="22" customFormat="1" ht="21">
      <c r="A8" s="21"/>
      <c r="B8" s="21" t="s">
        <v>55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U9" s="144" t="s">
        <v>45</v>
      </c>
    </row>
    <row r="10" spans="1:74" ht="15.6">
      <c r="B10" s="185" t="s">
        <v>149</v>
      </c>
      <c r="C10" s="185"/>
      <c r="D10" s="185"/>
      <c r="E10" s="185"/>
      <c r="F10" s="185"/>
      <c r="G10" s="185"/>
      <c r="H10" s="185"/>
      <c r="I10" s="185"/>
      <c r="T10" s="166" t="s">
        <v>154</v>
      </c>
      <c r="U10" s="166"/>
      <c r="V10" s="166"/>
      <c r="W10" s="166"/>
      <c r="X10" s="166"/>
      <c r="Y10" s="166"/>
      <c r="Z10" s="166"/>
      <c r="AA10" s="166"/>
    </row>
    <row r="11" spans="1:74">
      <c r="T11" s="39" t="s">
        <v>118</v>
      </c>
      <c r="U11" s="12"/>
      <c r="V11" s="12"/>
      <c r="W11" s="7"/>
      <c r="X11" s="7"/>
      <c r="Y11" s="7"/>
      <c r="Z11" s="7"/>
      <c r="AA11" s="7"/>
    </row>
    <row r="12" spans="1:74" ht="15.6">
      <c r="B12" s="24" t="s">
        <v>139</v>
      </c>
      <c r="G12" s="3"/>
      <c r="K12" t="s">
        <v>23</v>
      </c>
      <c r="T12" s="12"/>
      <c r="U12" s="163" t="s">
        <v>189</v>
      </c>
      <c r="V12" s="163"/>
      <c r="W12" s="163"/>
      <c r="X12" s="163"/>
      <c r="Y12" s="163"/>
      <c r="Z12" s="7"/>
      <c r="AA12" s="7"/>
    </row>
    <row r="13" spans="1:74" s="12" customFormat="1">
      <c r="B13" s="150" t="s">
        <v>176</v>
      </c>
      <c r="C13" s="152" t="s">
        <v>19</v>
      </c>
      <c r="D13" s="36"/>
      <c r="E13" s="150" t="s">
        <v>177</v>
      </c>
      <c r="G13" s="163" t="s">
        <v>140</v>
      </c>
      <c r="H13" s="163"/>
      <c r="I13" s="163"/>
      <c r="T13" s="35" t="s">
        <v>26</v>
      </c>
      <c r="U13" s="112" t="s">
        <v>141</v>
      </c>
      <c r="V13" s="112" t="s">
        <v>86</v>
      </c>
      <c r="W13" s="112" t="s">
        <v>87</v>
      </c>
      <c r="Y13" s="113" t="s">
        <v>142</v>
      </c>
    </row>
    <row r="14" spans="1:74" s="12" customFormat="1">
      <c r="B14" s="151"/>
      <c r="C14" s="153"/>
      <c r="D14" s="27"/>
      <c r="E14" s="151"/>
      <c r="G14" s="33" t="s">
        <v>18</v>
      </c>
      <c r="H14" s="33" t="s">
        <v>86</v>
      </c>
      <c r="I14" s="33" t="s">
        <v>87</v>
      </c>
      <c r="J14" s="7"/>
      <c r="T14" s="116" t="s">
        <v>143</v>
      </c>
      <c r="U14" s="117">
        <f>1000*Calcs!I40</f>
        <v>12.487799660396027</v>
      </c>
      <c r="V14" s="117">
        <f>IF('Data Entry'!C37&lt;100,Calcs!M40,Calcs!K40)*1000</f>
        <v>12.028306381112815</v>
      </c>
      <c r="W14" s="117">
        <f>IF('Data Entry'!C37&lt;100,Calcs!N40,Calcs!L40)*1000</f>
        <v>12.94729293967924</v>
      </c>
      <c r="X14" s="118"/>
      <c r="Y14" s="118" t="s">
        <v>34</v>
      </c>
      <c r="Z14" s="119"/>
      <c r="AA14" s="119"/>
    </row>
    <row r="15" spans="1:74" s="12" customFormat="1">
      <c r="T15" s="33" t="s">
        <v>143</v>
      </c>
      <c r="U15" s="120">
        <f>1000*Calcs!I40</f>
        <v>12.487799660396027</v>
      </c>
      <c r="V15" s="120">
        <f>1000*Calcs!M40</f>
        <v>12.029654282058887</v>
      </c>
      <c r="W15" s="120">
        <f>1000*Calcs!N40</f>
        <v>12.958926509865382</v>
      </c>
      <c r="X15" s="47"/>
      <c r="Y15" s="47" t="s">
        <v>90</v>
      </c>
      <c r="Z15" s="47"/>
      <c r="AA15" s="47"/>
    </row>
    <row r="16" spans="1:74" s="12" customFormat="1">
      <c r="B16" s="41" t="str">
        <f>'Data Entry'!B18</f>
        <v>&lt;5</v>
      </c>
      <c r="C16" s="143">
        <f>Calcs!H16</f>
        <v>23.102473498233216</v>
      </c>
      <c r="D16" s="46"/>
      <c r="E16" s="46">
        <f>'Data Entry'!E18</f>
        <v>13663</v>
      </c>
      <c r="F16" s="41"/>
      <c r="G16" s="114">
        <f>Calcs!I16* 1000</f>
        <v>1.6908785404547477</v>
      </c>
      <c r="H16" s="115">
        <f>IF('Data Entry'!C18&lt;100,Calcs!V16,Calcs!S16)</f>
        <v>1.0671175464425586</v>
      </c>
      <c r="I16" s="115">
        <f>IF('Data Entry'!C18&lt;100,Calcs!W16,Calcs!T16)</f>
        <v>2.881071289365726</v>
      </c>
      <c r="J16" s="53"/>
    </row>
    <row r="17" spans="2:27" s="12" customFormat="1">
      <c r="B17" s="41" t="str">
        <f>'Data Entry'!B19</f>
        <v>5-9</v>
      </c>
      <c r="C17" s="143">
        <f>Calcs!H17</f>
        <v>2.2002355712603063</v>
      </c>
      <c r="D17" s="46"/>
      <c r="E17" s="46">
        <f>'Data Entry'!E19</f>
        <v>15519</v>
      </c>
      <c r="F17" s="41"/>
      <c r="G17" s="114">
        <f>Calcs!I17* 1000</f>
        <v>0.14177689098912988</v>
      </c>
      <c r="H17" s="115">
        <f>IF('Data Entry'!C19&lt;100,Calcs!V17,Calcs!S17)</f>
        <v>1.5607273570717518E-2</v>
      </c>
      <c r="I17" s="115">
        <f>IF('Data Entry'!C19&lt;100,Calcs!W17,Calcs!T17)</f>
        <v>0.60238440650145941</v>
      </c>
      <c r="J17" s="53"/>
      <c r="U17" s="186" t="s">
        <v>191</v>
      </c>
      <c r="V17" s="186"/>
      <c r="W17" s="186"/>
      <c r="X17" s="186"/>
      <c r="Y17" s="186"/>
      <c r="Z17" s="186"/>
    </row>
    <row r="18" spans="2:27" s="12" customFormat="1">
      <c r="B18" s="41" t="str">
        <f>'Data Entry'!B20</f>
        <v>10-14</v>
      </c>
      <c r="C18" s="143">
        <f>Calcs!H18</f>
        <v>4.4004711425206127</v>
      </c>
      <c r="D18" s="46"/>
      <c r="E18" s="46">
        <f>'Data Entry'!E20</f>
        <v>16409</v>
      </c>
      <c r="F18" s="41"/>
      <c r="G18" s="114">
        <f>Calcs!I18* 1000</f>
        <v>0.26817424233777887</v>
      </c>
      <c r="H18" s="115">
        <f>IF('Data Entry'!C20&lt;100,Calcs!V18,Calcs!S18)</f>
        <v>6.6418756391390402E-2</v>
      </c>
      <c r="I18" s="115">
        <f>IF('Data Entry'!C20&lt;100,Calcs!W18,Calcs!T18)</f>
        <v>0.78204046523432436</v>
      </c>
      <c r="J18" s="53"/>
      <c r="T18" s="35" t="s">
        <v>26</v>
      </c>
      <c r="U18" s="121" t="s">
        <v>134</v>
      </c>
      <c r="V18" s="112" t="s">
        <v>86</v>
      </c>
      <c r="W18" s="112" t="s">
        <v>87</v>
      </c>
      <c r="X18" s="7"/>
      <c r="Y18" s="113" t="s">
        <v>142</v>
      </c>
    </row>
    <row r="19" spans="2:27" s="12" customFormat="1">
      <c r="B19" s="41" t="str">
        <f>'Data Entry'!B21</f>
        <v>15-19</v>
      </c>
      <c r="C19" s="143">
        <f>Calcs!H19</f>
        <v>9.9010600706713774</v>
      </c>
      <c r="D19" s="46"/>
      <c r="E19" s="46">
        <f>'Data Entry'!E21</f>
        <v>16133</v>
      </c>
      <c r="F19" s="41"/>
      <c r="G19" s="114">
        <f>Calcs!I19* 1000</f>
        <v>0.6137147505529893</v>
      </c>
      <c r="H19" s="115">
        <f>IF('Data Entry'!C21&lt;100,Calcs!V19,Calcs!S19)</f>
        <v>0.27603410655141558</v>
      </c>
      <c r="I19" s="115">
        <f>IF('Data Entry'!C21&lt;100,Calcs!W19,Calcs!T19)</f>
        <v>1.2696446631629206</v>
      </c>
      <c r="J19" s="53"/>
      <c r="T19" s="116" t="s">
        <v>143</v>
      </c>
      <c r="U19" s="122">
        <f>Calcs!Z40</f>
        <v>9.4310963242102641</v>
      </c>
      <c r="V19" s="122">
        <f>Calcs!AB40</f>
        <v>9.087019442728387</v>
      </c>
      <c r="W19" s="122">
        <f>Calcs!AC40</f>
        <v>9.7751732056921412</v>
      </c>
      <c r="X19" s="119"/>
      <c r="Y19" s="118" t="s">
        <v>34</v>
      </c>
      <c r="Z19" s="119"/>
      <c r="AA19" s="119"/>
    </row>
    <row r="20" spans="2:27" s="12" customFormat="1">
      <c r="B20" s="41" t="str">
        <f>'Data Entry'!B22</f>
        <v>20-24</v>
      </c>
      <c r="C20" s="143">
        <f>Calcs!H20</f>
        <v>23.102473498233216</v>
      </c>
      <c r="D20" s="46"/>
      <c r="E20" s="46">
        <f>'Data Entry'!E22</f>
        <v>21482</v>
      </c>
      <c r="F20" s="41"/>
      <c r="G20" s="114">
        <f>Calcs!I20* 1000</f>
        <v>1.0754340144415424</v>
      </c>
      <c r="H20" s="115">
        <f>IF('Data Entry'!C22&lt;100,Calcs!V20,Calcs!S20)</f>
        <v>0.67870901392070937</v>
      </c>
      <c r="I20" s="115">
        <f>IF('Data Entry'!C22&lt;100,Calcs!W20,Calcs!T20)</f>
        <v>1.8324214238247796</v>
      </c>
      <c r="J20" s="53"/>
      <c r="T20" s="33" t="s">
        <v>143</v>
      </c>
      <c r="U20" s="123">
        <f>Calcs!Z40</f>
        <v>9.4310963242102641</v>
      </c>
      <c r="V20" s="123">
        <f>Calcs!AD40</f>
        <v>9.0901775843047545</v>
      </c>
      <c r="W20" s="123">
        <f>Calcs!AE40</f>
        <v>9.7816749384477557</v>
      </c>
      <c r="X20" s="124"/>
      <c r="Y20" s="47" t="s">
        <v>35</v>
      </c>
      <c r="Z20" s="47"/>
      <c r="AA20" s="47"/>
    </row>
    <row r="21" spans="2:27" s="12" customFormat="1">
      <c r="B21" s="41" t="str">
        <f>'Data Entry'!B23</f>
        <v>25-29</v>
      </c>
      <c r="C21" s="143">
        <f>Calcs!H21</f>
        <v>24.20259128386337</v>
      </c>
      <c r="D21" s="46"/>
      <c r="E21" s="46">
        <f>'Data Entry'!E23</f>
        <v>15997</v>
      </c>
      <c r="F21" s="41"/>
      <c r="G21" s="114">
        <f>Calcs!I21* 1000</f>
        <v>1.5129456325475632</v>
      </c>
      <c r="H21" s="115">
        <f>IF('Data Entry'!C23&lt;100,Calcs!V21,Calcs!S21)</f>
        <v>0.96125853939404049</v>
      </c>
      <c r="I21" s="115">
        <f>IF('Data Entry'!C23&lt;100,Calcs!W21,Calcs!T21)</f>
        <v>2.5408807351550418</v>
      </c>
      <c r="J21" s="53"/>
      <c r="T21" s="41"/>
      <c r="Z21" s="7"/>
      <c r="AA21" s="7"/>
    </row>
    <row r="22" spans="2:27" s="12" customFormat="1">
      <c r="B22" s="41" t="str">
        <f>'Data Entry'!B24</f>
        <v>30-34</v>
      </c>
      <c r="C22" s="143">
        <f>Calcs!H22</f>
        <v>38.504122497055363</v>
      </c>
      <c r="D22" s="46"/>
      <c r="E22" s="46">
        <f>'Data Entry'!E24</f>
        <v>16026</v>
      </c>
      <c r="F22" s="41"/>
      <c r="G22" s="114">
        <f>Calcs!I22* 1000</f>
        <v>2.4026034254995232</v>
      </c>
      <c r="H22" s="115">
        <f>IF('Data Entry'!C24&lt;100,Calcs!V22,Calcs!S22)</f>
        <v>1.7042106115549431</v>
      </c>
      <c r="I22" s="115">
        <f>IF('Data Entry'!C24&lt;100,Calcs!W22,Calcs!T22)</f>
        <v>3.6266104913694162</v>
      </c>
      <c r="J22" s="53"/>
      <c r="T22" s="41"/>
      <c r="U22" s="163" t="s">
        <v>190</v>
      </c>
      <c r="V22" s="163"/>
      <c r="W22" s="163"/>
      <c r="X22" s="163"/>
      <c r="Y22" s="163"/>
    </row>
    <row r="23" spans="2:27" s="12" customFormat="1">
      <c r="B23" s="41" t="str">
        <f>'Data Entry'!B25</f>
        <v>35-39</v>
      </c>
      <c r="C23" s="143">
        <f>Calcs!H23</f>
        <v>37.404004711425209</v>
      </c>
      <c r="D23" s="46"/>
      <c r="E23" s="46">
        <f>'Data Entry'!E25</f>
        <v>19800</v>
      </c>
      <c r="F23" s="41"/>
      <c r="G23" s="114">
        <f>Calcs!I23* 1000</f>
        <v>1.8890911470416774</v>
      </c>
      <c r="H23" s="115">
        <f>IF('Data Entry'!C25&lt;100,Calcs!V23,Calcs!S23)</f>
        <v>1.3157280084396985</v>
      </c>
      <c r="I23" s="115">
        <f>IF('Data Entry'!C25&lt;100,Calcs!W23,Calcs!T23)</f>
        <v>2.8735111381341403</v>
      </c>
      <c r="J23" s="53"/>
      <c r="T23" s="39" t="s">
        <v>53</v>
      </c>
      <c r="U23" s="112" t="s">
        <v>141</v>
      </c>
      <c r="V23" s="112" t="s">
        <v>86</v>
      </c>
      <c r="W23" s="112" t="s">
        <v>87</v>
      </c>
      <c r="Y23" s="113" t="s">
        <v>142</v>
      </c>
    </row>
    <row r="24" spans="2:27" s="12" customFormat="1">
      <c r="B24" s="41" t="str">
        <f>'Data Entry'!B26</f>
        <v>40-44</v>
      </c>
      <c r="C24" s="143">
        <f>Calcs!H24</f>
        <v>42.904593639575971</v>
      </c>
      <c r="D24" s="46"/>
      <c r="E24" s="46">
        <f>'Data Entry'!E26</f>
        <v>16076</v>
      </c>
      <c r="F24" s="41"/>
      <c r="G24" s="114">
        <f>Calcs!I24* 1000</f>
        <v>2.6688600173908914</v>
      </c>
      <c r="H24" s="115">
        <f>IF('Data Entry'!C26&lt;100,Calcs!V24,Calcs!S24)</f>
        <v>1.9093298887537802</v>
      </c>
      <c r="I24" s="115">
        <f>IF('Data Entry'!C26&lt;100,Calcs!W24,Calcs!T24)</f>
        <v>3.918285365209131</v>
      </c>
      <c r="J24" s="53"/>
      <c r="T24" s="125" t="s">
        <v>15</v>
      </c>
      <c r="U24" s="122">
        <f>1000*Calcs!I41</f>
        <v>3.5871048110282047</v>
      </c>
      <c r="V24" s="122">
        <f>1000*Calcs!K41</f>
        <v>3.2761410939323197</v>
      </c>
      <c r="W24" s="122">
        <f>1000*Calcs!L41</f>
        <v>3.8980685281240892</v>
      </c>
      <c r="X24" s="118"/>
      <c r="Y24" s="118" t="s">
        <v>34</v>
      </c>
      <c r="Z24" s="126"/>
      <c r="AA24" s="119"/>
    </row>
    <row r="25" spans="2:27" s="12" customFormat="1">
      <c r="B25" s="41" t="str">
        <f>'Data Entry'!B27</f>
        <v>45-49</v>
      </c>
      <c r="C25" s="143">
        <f>Calcs!H25</f>
        <v>64.906949352179041</v>
      </c>
      <c r="D25" s="46"/>
      <c r="E25" s="46">
        <f>'Data Entry'!E27</f>
        <v>13404</v>
      </c>
      <c r="F25" s="41"/>
      <c r="G25" s="114">
        <f>Calcs!I25* 1000</f>
        <v>4.8423567108459444</v>
      </c>
      <c r="H25" s="115">
        <f>IF('Data Entry'!C27&lt;100,Calcs!V25,Calcs!S25)</f>
        <v>3.7098324743888487</v>
      </c>
      <c r="I25" s="115">
        <f>IF('Data Entry'!C27&lt;100,Calcs!W25,Calcs!T25)</f>
        <v>6.6530248430883452</v>
      </c>
      <c r="J25" s="53"/>
      <c r="T25" s="30" t="s">
        <v>15</v>
      </c>
      <c r="U25" s="123">
        <f>1000*Calcs!I41</f>
        <v>3.5871048110282047</v>
      </c>
      <c r="V25" s="123">
        <f>1000*Calcs!M41</f>
        <v>3.279922216948052</v>
      </c>
      <c r="W25" s="123">
        <f>1000*Calcs!N41</f>
        <v>3.9099807483831639</v>
      </c>
      <c r="X25" s="47"/>
      <c r="Y25" s="47" t="s">
        <v>90</v>
      </c>
      <c r="Z25" s="47"/>
      <c r="AA25" s="47"/>
    </row>
    <row r="26" spans="2:27" s="12" customFormat="1">
      <c r="B26" s="41" t="str">
        <f>'Data Entry'!B28</f>
        <v>50-54</v>
      </c>
      <c r="C26" s="143">
        <f>Calcs!H26</f>
        <v>118.81272084805654</v>
      </c>
      <c r="D26" s="46"/>
      <c r="E26" s="46">
        <f>'Data Entry'!E28</f>
        <v>13027</v>
      </c>
      <c r="F26" s="41"/>
      <c r="G26" s="114">
        <f>Calcs!I26* 1000</f>
        <v>9.1204974935178118</v>
      </c>
      <c r="H26" s="115">
        <f>IF('Data Entry'!C28&lt;100,Calcs!V26,Calcs!S26)</f>
        <v>7.4879961353638649</v>
      </c>
      <c r="I26" s="115">
        <f>IF('Data Entry'!C28&lt;100,Calcs!W26,Calcs!T26)</f>
        <v>10.752998851671759</v>
      </c>
      <c r="J26" s="53"/>
    </row>
    <row r="27" spans="2:27" s="12" customFormat="1">
      <c r="B27" s="41" t="str">
        <f>'Data Entry'!B29</f>
        <v>55-59</v>
      </c>
      <c r="C27" s="143">
        <f>Calcs!H27</f>
        <v>149.61601884570084</v>
      </c>
      <c r="D27" s="46"/>
      <c r="E27" s="46">
        <f>'Data Entry'!E29</f>
        <v>10051</v>
      </c>
      <c r="F27" s="41"/>
      <c r="G27" s="114">
        <f>Calcs!I27* 1000</f>
        <v>14.885684891622807</v>
      </c>
      <c r="H27" s="115">
        <f>IF('Data Entry'!C29&lt;100,Calcs!V27,Calcs!S27)</f>
        <v>12.518243913490032</v>
      </c>
      <c r="I27" s="115">
        <f>IF('Data Entry'!C29&lt;100,Calcs!W27,Calcs!T27)</f>
        <v>17.253125869755582</v>
      </c>
      <c r="J27" s="53"/>
      <c r="T27" s="41"/>
      <c r="U27" s="186" t="s">
        <v>191</v>
      </c>
      <c r="V27" s="186"/>
      <c r="W27" s="186"/>
      <c r="X27" s="186"/>
      <c r="Y27" s="186"/>
      <c r="Z27" s="186"/>
    </row>
    <row r="28" spans="2:27" s="12" customFormat="1">
      <c r="B28" s="41" t="str">
        <f>'Data Entry'!B30</f>
        <v>60-64</v>
      </c>
      <c r="C28" s="143">
        <f>Calcs!H28</f>
        <v>193.62073027090696</v>
      </c>
      <c r="D28" s="46"/>
      <c r="E28" s="46">
        <f>'Data Entry'!E30</f>
        <v>10220</v>
      </c>
      <c r="F28" s="41"/>
      <c r="G28" s="114">
        <f>Calcs!I28* 1000</f>
        <v>18.945276934531012</v>
      </c>
      <c r="H28" s="115">
        <f>IF('Data Entry'!C30&lt;100,Calcs!V28,Calcs!S28)</f>
        <v>16.302090973627035</v>
      </c>
      <c r="I28" s="115">
        <f>IF('Data Entry'!C30&lt;100,Calcs!W28,Calcs!T28)</f>
        <v>21.58846289543499</v>
      </c>
      <c r="J28" s="53"/>
      <c r="T28" s="39" t="s">
        <v>53</v>
      </c>
      <c r="U28" s="121" t="s">
        <v>134</v>
      </c>
      <c r="V28" s="112" t="s">
        <v>86</v>
      </c>
      <c r="W28" s="112" t="s">
        <v>87</v>
      </c>
      <c r="X28" s="16"/>
      <c r="Y28" s="113" t="s">
        <v>142</v>
      </c>
    </row>
    <row r="29" spans="2:27" s="12" customFormat="1">
      <c r="B29" s="41" t="str">
        <f>'Data Entry'!B31</f>
        <v>65-69</v>
      </c>
      <c r="C29" s="143">
        <f>Calcs!H29</f>
        <v>352.037691401649</v>
      </c>
      <c r="D29" s="46"/>
      <c r="E29" s="46">
        <f>'Data Entry'!E31</f>
        <v>9190</v>
      </c>
      <c r="F29" s="41"/>
      <c r="G29" s="114">
        <f>Calcs!I29* 1000</f>
        <v>38.306604069820345</v>
      </c>
      <c r="H29" s="115">
        <f>IF('Data Entry'!C31&lt;100,Calcs!V29,Calcs!S29)</f>
        <v>34.382383056679693</v>
      </c>
      <c r="I29" s="115">
        <f>IF('Data Entry'!C31&lt;100,Calcs!W29,Calcs!T29)</f>
        <v>42.230825082960997</v>
      </c>
      <c r="J29" s="53"/>
      <c r="T29" s="125" t="s">
        <v>15</v>
      </c>
      <c r="U29" s="122">
        <f>Calcs!Z41</f>
        <v>3.5745077348067937</v>
      </c>
      <c r="V29" s="122">
        <f>Calcs!AB41</f>
        <v>3.2642702833547577</v>
      </c>
      <c r="W29" s="122">
        <f>Calcs!AC41</f>
        <v>3.8847451862588298</v>
      </c>
      <c r="X29" s="126"/>
      <c r="Y29" s="118" t="s">
        <v>34</v>
      </c>
      <c r="Z29" s="119"/>
      <c r="AA29" s="119"/>
    </row>
    <row r="30" spans="2:27" s="12" customFormat="1">
      <c r="B30" s="41" t="str">
        <f>'Data Entry'!B32</f>
        <v>70-74</v>
      </c>
      <c r="C30" s="143">
        <f>Calcs!H30</f>
        <v>489.55241460541811</v>
      </c>
      <c r="D30" s="46"/>
      <c r="E30" s="46">
        <f>'Data Entry'!E32</f>
        <v>7427</v>
      </c>
      <c r="F30" s="41"/>
      <c r="G30" s="114">
        <f>Calcs!I30* 1000</f>
        <v>65.91523018788449</v>
      </c>
      <c r="H30" s="115">
        <f>IF('Data Entry'!C32&lt;100,Calcs!V30,Calcs!S30)</f>
        <v>60.271900908328682</v>
      </c>
      <c r="I30" s="115">
        <f>IF('Data Entry'!C32&lt;100,Calcs!W30,Calcs!T30)</f>
        <v>71.558559467440304</v>
      </c>
      <c r="J30" s="53"/>
      <c r="T30" s="30" t="s">
        <v>15</v>
      </c>
      <c r="U30" s="123">
        <f>Calcs!Z41</f>
        <v>3.5745077348067937</v>
      </c>
      <c r="V30" s="123">
        <f>Calcs!AD41</f>
        <v>3.2685927305705795</v>
      </c>
      <c r="W30" s="123">
        <f>Calcs!AE41</f>
        <v>3.8960513236923724</v>
      </c>
      <c r="X30" s="48"/>
      <c r="Y30" s="47" t="s">
        <v>35</v>
      </c>
      <c r="Z30" s="124"/>
      <c r="AA30" s="124"/>
    </row>
    <row r="31" spans="2:27" s="12" customFormat="1">
      <c r="B31" s="41" t="str">
        <f>'Data Entry'!B33</f>
        <v>≥75</v>
      </c>
      <c r="C31" s="143">
        <f>Calcs!H31</f>
        <v>1227.7314487632509</v>
      </c>
      <c r="D31" s="46"/>
      <c r="E31" s="46">
        <f>'Data Entry'!E33</f>
        <v>9955</v>
      </c>
      <c r="F31" s="41"/>
      <c r="G31" s="114">
        <f>Calcs!I31* 1000</f>
        <v>123.32812142272736</v>
      </c>
      <c r="H31" s="115">
        <f>IF('Data Entry'!C33&lt;100,Calcs!V31,Calcs!S31)</f>
        <v>116.86882767732867</v>
      </c>
      <c r="I31" s="115">
        <f>IF('Data Entry'!C33&lt;100,Calcs!W31,Calcs!T31)</f>
        <v>129.78741516812605</v>
      </c>
      <c r="J31" s="53"/>
      <c r="T31" s="41"/>
      <c r="Z31" s="7"/>
      <c r="AA31" s="7"/>
    </row>
    <row r="32" spans="2:27" s="12" customFormat="1">
      <c r="C32" s="127"/>
      <c r="D32" s="46"/>
      <c r="E32" s="46"/>
      <c r="F32" s="41"/>
      <c r="G32" s="67"/>
      <c r="H32" s="53"/>
      <c r="I32" s="53"/>
      <c r="J32" s="53"/>
    </row>
    <row r="33" spans="2:27" s="12" customFormat="1" ht="15.6">
      <c r="B33" s="37" t="str">
        <f>'Data Entry'!B37</f>
        <v>Totals =</v>
      </c>
      <c r="C33" s="128">
        <f>Calcs!H34</f>
        <v>2802</v>
      </c>
      <c r="D33" s="129"/>
      <c r="E33" s="129">
        <f>'Data Entry'!E37</f>
        <v>224379</v>
      </c>
      <c r="F33" s="130"/>
      <c r="G33" s="12" t="s">
        <v>188</v>
      </c>
      <c r="H33" s="3"/>
      <c r="T33" s="166" t="s">
        <v>109</v>
      </c>
      <c r="U33" s="166"/>
      <c r="V33" s="166"/>
      <c r="W33" s="166"/>
      <c r="X33" s="166"/>
      <c r="Y33" s="166"/>
      <c r="Z33" s="166"/>
      <c r="AA33" s="166"/>
    </row>
    <row r="34" spans="2:27" s="12" customFormat="1">
      <c r="F34" s="41"/>
      <c r="G34" s="12" t="s">
        <v>178</v>
      </c>
      <c r="T34" s="28"/>
      <c r="U34" s="17"/>
      <c r="V34" s="17"/>
      <c r="W34" s="17"/>
      <c r="X34" s="17"/>
      <c r="Y34" s="17"/>
      <c r="Z34" s="5"/>
      <c r="AA34" s="5"/>
    </row>
    <row r="35" spans="2:27">
      <c r="B35" t="s">
        <v>49</v>
      </c>
      <c r="J35" s="3"/>
      <c r="T35" s="41"/>
      <c r="U35" s="163" t="s">
        <v>146</v>
      </c>
      <c r="V35" s="163"/>
      <c r="W35" s="163"/>
      <c r="X35" s="163"/>
      <c r="Y35" s="163"/>
      <c r="Z35" s="7"/>
      <c r="AA35" s="7"/>
    </row>
    <row r="36" spans="2:27">
      <c r="B36" t="s">
        <v>43</v>
      </c>
      <c r="C36" s="5"/>
      <c r="T36" s="39" t="s">
        <v>53</v>
      </c>
      <c r="U36" s="16" t="s">
        <v>28</v>
      </c>
      <c r="V36" s="112" t="s">
        <v>86</v>
      </c>
      <c r="W36" s="112" t="s">
        <v>87</v>
      </c>
      <c r="X36" s="12"/>
      <c r="Y36" s="113" t="s">
        <v>142</v>
      </c>
      <c r="Z36" s="12"/>
      <c r="AA36" s="12"/>
    </row>
    <row r="37" spans="2:27">
      <c r="B37" t="s">
        <v>46</v>
      </c>
      <c r="K37" t="s">
        <v>47</v>
      </c>
      <c r="T37" s="125" t="s">
        <v>15</v>
      </c>
      <c r="U37" s="122">
        <f>1000*Calcs!P47</f>
        <v>177.21137037068857</v>
      </c>
      <c r="V37" s="122">
        <f>1000*Calcs!Q47</f>
        <v>162.80661579949594</v>
      </c>
      <c r="W37" s="122">
        <f>1000*Calcs!R47</f>
        <v>191.3682766452126</v>
      </c>
      <c r="X37" s="118"/>
      <c r="Y37" s="118" t="s">
        <v>34</v>
      </c>
      <c r="Z37" s="118"/>
      <c r="AA37" s="118"/>
    </row>
    <row r="38" spans="2:27">
      <c r="K38" t="s">
        <v>48</v>
      </c>
      <c r="T38" s="30" t="s">
        <v>15</v>
      </c>
      <c r="U38" s="123">
        <f>1000*Calcs!P47</f>
        <v>177.21137037068857</v>
      </c>
      <c r="V38" s="123">
        <f>1000*Calcs!S47</f>
        <v>163.00903519897403</v>
      </c>
      <c r="W38" s="123">
        <f>1000*Calcs!T47</f>
        <v>191.87957788970843</v>
      </c>
      <c r="X38" s="47"/>
      <c r="Y38" s="47" t="s">
        <v>35</v>
      </c>
      <c r="Z38" s="47"/>
      <c r="AA38" s="47"/>
    </row>
    <row r="39" spans="2:27" ht="16.2">
      <c r="B39" s="166" t="s">
        <v>29</v>
      </c>
      <c r="C39" s="166"/>
      <c r="D39" s="166"/>
      <c r="E39" s="166"/>
      <c r="F39" s="166"/>
      <c r="T39" s="41"/>
      <c r="U39" s="41" t="s">
        <v>179</v>
      </c>
      <c r="V39" s="36" t="s">
        <v>86</v>
      </c>
      <c r="W39" s="36" t="s">
        <v>87</v>
      </c>
      <c r="X39" s="12"/>
      <c r="Y39" s="113" t="s">
        <v>142</v>
      </c>
      <c r="Z39" s="12"/>
      <c r="AA39" s="12"/>
    </row>
    <row r="40" spans="2:27">
      <c r="B40" s="12"/>
      <c r="C40" s="12"/>
      <c r="D40" s="12"/>
      <c r="E40" s="183" t="s">
        <v>107</v>
      </c>
      <c r="F40" s="183"/>
      <c r="G40" s="2"/>
      <c r="K40" t="s">
        <v>45</v>
      </c>
      <c r="T40" s="125" t="s">
        <v>15</v>
      </c>
      <c r="U40" s="122">
        <f>Calcs!I55*1000</f>
        <v>177.24752251258124</v>
      </c>
      <c r="V40" s="122">
        <f>Calcs!K55*1000</f>
        <v>160.72167030484914</v>
      </c>
      <c r="W40" s="122">
        <f>Calcs!L55*1000</f>
        <v>193.77337472031337</v>
      </c>
      <c r="X40" s="118"/>
      <c r="Y40" s="118" t="s">
        <v>34</v>
      </c>
      <c r="Z40" s="118"/>
      <c r="AA40" s="118"/>
    </row>
    <row r="41" spans="2:27" ht="15.9" customHeight="1">
      <c r="B41" s="179" t="s">
        <v>68</v>
      </c>
      <c r="C41" s="181" t="s">
        <v>30</v>
      </c>
      <c r="D41" s="132"/>
      <c r="E41" s="182" t="s">
        <v>90</v>
      </c>
      <c r="F41" s="182"/>
      <c r="G41" s="5"/>
      <c r="T41" s="30" t="s">
        <v>15</v>
      </c>
      <c r="U41" s="123">
        <f>Calcs!I55*1000</f>
        <v>177.24752251258124</v>
      </c>
      <c r="V41" s="123">
        <f>Calcs!M55*1000</f>
        <v>160.95192014583404</v>
      </c>
      <c r="W41" s="123">
        <f>Calcs!N55*1000</f>
        <v>194.37563455513515</v>
      </c>
      <c r="X41" s="47"/>
      <c r="Y41" s="47" t="s">
        <v>35</v>
      </c>
      <c r="Z41" s="47"/>
      <c r="AA41" s="47"/>
    </row>
    <row r="42" spans="2:27">
      <c r="B42" s="180"/>
      <c r="C42" s="159"/>
      <c r="D42" s="31"/>
      <c r="E42" s="31" t="s">
        <v>86</v>
      </c>
      <c r="F42" s="31" t="s">
        <v>87</v>
      </c>
      <c r="G42" s="5"/>
      <c r="T42" s="41"/>
      <c r="U42" s="12"/>
      <c r="V42" s="12"/>
      <c r="W42" s="12"/>
      <c r="X42" s="12"/>
      <c r="Y42" s="12"/>
      <c r="Z42" s="12"/>
      <c r="AA42" s="12"/>
    </row>
    <row r="43" spans="2:27">
      <c r="B43" s="131">
        <f>'Data Entry'!J20</f>
        <v>3</v>
      </c>
      <c r="C43" s="131">
        <f>'Data Entry'!K20</f>
        <v>26500</v>
      </c>
      <c r="D43" s="55"/>
      <c r="E43" s="133">
        <f>Calcs!D41</f>
        <v>0.61867212289560225</v>
      </c>
      <c r="F43" s="133">
        <f>Calcs!E41</f>
        <v>8.7672730697423251</v>
      </c>
      <c r="G43" s="5"/>
      <c r="T43" s="41"/>
      <c r="U43" s="164" t="s">
        <v>146</v>
      </c>
      <c r="V43" s="164"/>
      <c r="W43" s="164"/>
      <c r="X43" s="164"/>
      <c r="Y43" s="164"/>
      <c r="Z43" s="12"/>
      <c r="AA43" s="12"/>
    </row>
    <row r="44" spans="2:27">
      <c r="T44" s="39" t="s">
        <v>144</v>
      </c>
      <c r="U44" s="16" t="s">
        <v>28</v>
      </c>
      <c r="V44" s="112" t="s">
        <v>86</v>
      </c>
      <c r="W44" s="112" t="s">
        <v>87</v>
      </c>
      <c r="X44" s="12"/>
      <c r="Y44" s="113" t="s">
        <v>142</v>
      </c>
      <c r="Z44" s="12"/>
      <c r="AA44" s="12"/>
    </row>
    <row r="45" spans="2:27">
      <c r="B45" s="154" t="s">
        <v>29</v>
      </c>
      <c r="C45" s="154"/>
      <c r="E45" s="177" t="s">
        <v>105</v>
      </c>
      <c r="F45" s="177"/>
      <c r="T45" s="125" t="s">
        <v>40</v>
      </c>
      <c r="U45" s="122">
        <f>1000*Calcs!P48</f>
        <v>372.05636733886416</v>
      </c>
      <c r="V45" s="122">
        <f>1000*Calcs!Q48</f>
        <v>353.34635925280423</v>
      </c>
      <c r="W45" s="122">
        <f>1000*Calcs!R48</f>
        <v>390.22502781544335</v>
      </c>
      <c r="X45" s="118"/>
      <c r="Y45" s="118" t="s">
        <v>34</v>
      </c>
      <c r="Z45" s="118"/>
      <c r="AA45" s="118"/>
    </row>
    <row r="46" spans="2:27">
      <c r="B46" s="176" t="s">
        <v>106</v>
      </c>
      <c r="C46" s="176"/>
      <c r="E46" s="178" t="s">
        <v>90</v>
      </c>
      <c r="F46" s="178"/>
      <c r="G46" s="5"/>
      <c r="T46" s="30" t="s">
        <v>40</v>
      </c>
      <c r="U46" s="123">
        <f>1000*Calcs!P48</f>
        <v>372.05636733886416</v>
      </c>
      <c r="V46" s="123">
        <f>1000*Calcs!S48</f>
        <v>353.54760433073693</v>
      </c>
      <c r="W46" s="123">
        <f>1000*Calcs!T48</f>
        <v>390.70346629648333</v>
      </c>
      <c r="X46" s="47"/>
      <c r="Y46" s="47" t="s">
        <v>35</v>
      </c>
      <c r="Z46" s="47"/>
      <c r="AA46" s="47"/>
    </row>
    <row r="47" spans="2:27" ht="15.6">
      <c r="B47" s="167" t="s">
        <v>31</v>
      </c>
      <c r="C47" s="167"/>
      <c r="E47" s="31" t="s">
        <v>86</v>
      </c>
      <c r="F47" s="31" t="s">
        <v>87</v>
      </c>
      <c r="G47" s="15"/>
      <c r="T47" s="41"/>
      <c r="U47" s="41" t="s">
        <v>179</v>
      </c>
      <c r="V47" s="112" t="s">
        <v>86</v>
      </c>
      <c r="W47" s="112" t="s">
        <v>87</v>
      </c>
      <c r="X47" s="12"/>
      <c r="Y47" s="113" t="s">
        <v>142</v>
      </c>
      <c r="Z47" s="12"/>
      <c r="AA47" s="12"/>
    </row>
    <row r="48" spans="2:27">
      <c r="B48" s="168">
        <f>Calcs!B46</f>
        <v>11.320754716981131</v>
      </c>
      <c r="C48" s="168"/>
      <c r="D48" s="29"/>
      <c r="E48" s="34">
        <f>Calcs!D46</f>
        <v>2.3346117845117065</v>
      </c>
      <c r="F48" s="34">
        <f>Calcs!E46</f>
        <v>33.084049319782359</v>
      </c>
      <c r="G48" s="5"/>
      <c r="T48" s="125" t="s">
        <v>40</v>
      </c>
      <c r="U48" s="122">
        <f>Calcs!I56*1000</f>
        <v>372.49802679025345</v>
      </c>
      <c r="V48" s="122">
        <f>Calcs!K56*1000</f>
        <v>346.44968847485978</v>
      </c>
      <c r="W48" s="122">
        <f>Calcs!L56*1000</f>
        <v>398.54636510564711</v>
      </c>
      <c r="X48" s="118"/>
      <c r="Y48" s="118" t="s">
        <v>34</v>
      </c>
      <c r="Z48" s="118"/>
      <c r="AA48" s="118"/>
    </row>
    <row r="49" spans="1:74">
      <c r="G49" s="5"/>
      <c r="T49" s="30" t="s">
        <v>40</v>
      </c>
      <c r="U49" s="123">
        <f>Calcs!I56*1000</f>
        <v>372.49802679025345</v>
      </c>
      <c r="V49" s="123">
        <f>Calcs!M56*1000</f>
        <v>346.72583460971498</v>
      </c>
      <c r="W49" s="123">
        <f>Calcs!N56*1000</f>
        <v>399.24274268830527</v>
      </c>
      <c r="X49" s="47"/>
      <c r="Y49" s="47" t="s">
        <v>35</v>
      </c>
      <c r="Z49" s="47"/>
      <c r="AA49" s="47"/>
    </row>
    <row r="50" spans="1:74" ht="15.9" customHeight="1">
      <c r="T50" s="134"/>
      <c r="U50" s="135"/>
      <c r="V50" s="135"/>
      <c r="W50" s="135"/>
      <c r="X50" s="135"/>
      <c r="Y50" s="135"/>
      <c r="Z50" s="135"/>
      <c r="AA50" s="135"/>
    </row>
    <row r="51" spans="1:74" ht="15" customHeight="1">
      <c r="B51" s="166" t="s">
        <v>148</v>
      </c>
      <c r="C51" s="166"/>
      <c r="D51" s="166"/>
      <c r="E51" s="166"/>
      <c r="F51" s="166"/>
      <c r="G51" s="166"/>
      <c r="T51" s="12"/>
      <c r="U51" s="163" t="s">
        <v>146</v>
      </c>
      <c r="V51" s="163"/>
      <c r="W51" s="163"/>
      <c r="X51" s="163"/>
      <c r="Y51" s="163"/>
      <c r="Z51" s="12"/>
      <c r="AA51" s="12"/>
    </row>
    <row r="52" spans="1:74" ht="15" customHeight="1">
      <c r="B52" s="17"/>
      <c r="C52" s="9"/>
      <c r="D52" s="10"/>
      <c r="E52" s="10"/>
      <c r="F52" s="165" t="s">
        <v>104</v>
      </c>
      <c r="G52" s="165"/>
      <c r="T52" s="39" t="s">
        <v>151</v>
      </c>
      <c r="U52" s="16" t="s">
        <v>28</v>
      </c>
      <c r="V52" s="112" t="s">
        <v>86</v>
      </c>
      <c r="W52" s="112" t="s">
        <v>87</v>
      </c>
      <c r="X52" s="12"/>
      <c r="Y52" s="113" t="s">
        <v>142</v>
      </c>
      <c r="Z52" s="12"/>
      <c r="AA52" s="12"/>
    </row>
    <row r="53" spans="1:74" s="44" customFormat="1" ht="14.1" customHeight="1">
      <c r="B53" s="169" t="s">
        <v>103</v>
      </c>
      <c r="C53" s="171" t="s">
        <v>66</v>
      </c>
      <c r="D53" s="43"/>
      <c r="E53" s="173" t="s">
        <v>155</v>
      </c>
      <c r="F53" s="175" t="s">
        <v>156</v>
      </c>
      <c r="G53" s="175"/>
      <c r="T53" s="125" t="s">
        <v>39</v>
      </c>
      <c r="U53" s="122">
        <f>1000*Calcs!P49</f>
        <v>2.0476563520936963</v>
      </c>
      <c r="V53" s="122">
        <f>1000*Calcs!Q49</f>
        <v>0.48535348369938003</v>
      </c>
      <c r="W53" s="122">
        <f>1000*Calcs!R49</f>
        <v>3.6075172450140691</v>
      </c>
      <c r="X53" s="118"/>
      <c r="Y53" s="118" t="s">
        <v>34</v>
      </c>
      <c r="Z53" s="118"/>
      <c r="AA53" s="118"/>
    </row>
    <row r="54" spans="1:74" s="44" customFormat="1">
      <c r="B54" s="170"/>
      <c r="C54" s="172"/>
      <c r="D54" s="45"/>
      <c r="E54" s="174"/>
      <c r="F54" s="38" t="s">
        <v>86</v>
      </c>
      <c r="G54" s="38" t="s">
        <v>87</v>
      </c>
      <c r="T54" s="30" t="s">
        <v>39</v>
      </c>
      <c r="U54" s="123">
        <f>1000*Calcs!P49</f>
        <v>2.0476563520936963</v>
      </c>
      <c r="V54" s="123">
        <f>1000*Calcs!S49</f>
        <v>0.77694866492539205</v>
      </c>
      <c r="W54" s="123">
        <f>1000*Calcs!T49</f>
        <v>4.2597466968263831</v>
      </c>
      <c r="X54" s="47"/>
      <c r="Y54" s="47" t="s">
        <v>35</v>
      </c>
      <c r="Z54" s="47"/>
      <c r="AA54" s="47"/>
    </row>
    <row r="55" spans="1:74" ht="15.6">
      <c r="B55" s="131">
        <f>'Data Entry'!J29</f>
        <v>54</v>
      </c>
      <c r="C55" s="131">
        <f>'Data Entry'!K29</f>
        <v>165</v>
      </c>
      <c r="D55" s="29"/>
      <c r="E55" s="34">
        <f>Calcs!D53</f>
        <v>32.727272727272727</v>
      </c>
      <c r="F55" s="34">
        <f>Calcs!E53</f>
        <v>26.666666666666668</v>
      </c>
      <c r="G55" s="34">
        <f>Calcs!F53</f>
        <v>38.787878787878789</v>
      </c>
      <c r="T55" s="41"/>
      <c r="U55" s="41" t="s">
        <v>179</v>
      </c>
      <c r="V55" s="112" t="s">
        <v>86</v>
      </c>
      <c r="W55" s="112" t="s">
        <v>87</v>
      </c>
      <c r="X55" s="12"/>
      <c r="Y55" s="113" t="s">
        <v>142</v>
      </c>
      <c r="Z55" s="12"/>
      <c r="AA55" s="12"/>
    </row>
    <row r="56" spans="1:74">
      <c r="B56" s="17"/>
      <c r="C56" s="17"/>
      <c r="D56" s="17"/>
      <c r="E56" s="17"/>
      <c r="F56" s="17"/>
      <c r="G56" s="17"/>
      <c r="T56" s="125" t="s">
        <v>39</v>
      </c>
      <c r="U56" s="122">
        <f>Calcs!I57*1000</f>
        <v>2.0476565822070691</v>
      </c>
      <c r="V56" s="122">
        <f>Calcs!K57*1000</f>
        <v>0.48511387538516099</v>
      </c>
      <c r="W56" s="122">
        <f>Calcs!L57*1000</f>
        <v>3.6101992890289774</v>
      </c>
      <c r="X56" s="118"/>
      <c r="Y56" s="118" t="s">
        <v>34</v>
      </c>
      <c r="Z56" s="118"/>
      <c r="AA56" s="118"/>
    </row>
    <row r="57" spans="1:74">
      <c r="T57" s="30" t="s">
        <v>39</v>
      </c>
      <c r="U57" s="123">
        <f>Calcs!I57*1000</f>
        <v>2.0476565822070691</v>
      </c>
      <c r="V57" s="123">
        <f>Calcs!M57*1000</f>
        <v>0.77656835217840936</v>
      </c>
      <c r="W57" s="123">
        <f>Calcs!N57*1000</f>
        <v>4.2642754752772252</v>
      </c>
      <c r="X57" s="47"/>
      <c r="Y57" s="47" t="s">
        <v>35</v>
      </c>
      <c r="Z57" s="47"/>
      <c r="AA57" s="47"/>
    </row>
    <row r="58" spans="1:74">
      <c r="T58" s="41"/>
      <c r="U58" s="12"/>
      <c r="V58" s="12"/>
      <c r="W58" s="12"/>
      <c r="X58" s="12"/>
      <c r="Y58" s="12"/>
      <c r="Z58" s="12"/>
      <c r="AA58" s="12"/>
    </row>
    <row r="59" spans="1:74">
      <c r="T59" s="41"/>
      <c r="U59" s="163" t="s">
        <v>147</v>
      </c>
      <c r="V59" s="163"/>
      <c r="W59" s="163"/>
      <c r="X59" s="163"/>
      <c r="Y59" s="163"/>
      <c r="Z59" s="12"/>
      <c r="AA59" s="12"/>
    </row>
    <row r="60" spans="1:74">
      <c r="T60" s="39" t="s">
        <v>145</v>
      </c>
      <c r="U60" s="39" t="s">
        <v>124</v>
      </c>
      <c r="V60" s="112" t="s">
        <v>86</v>
      </c>
      <c r="W60" s="112" t="s">
        <v>87</v>
      </c>
      <c r="X60" s="12"/>
      <c r="Y60" s="113" t="s">
        <v>142</v>
      </c>
      <c r="Z60" s="12"/>
      <c r="AA60" s="12"/>
    </row>
    <row r="61" spans="1:74">
      <c r="T61" s="125" t="s">
        <v>127</v>
      </c>
      <c r="U61" s="122">
        <f>Calcs!I63*1000</f>
        <v>1.6908785404547477</v>
      </c>
      <c r="V61" s="122">
        <f>Calcs!K63*1000</f>
        <v>1.0019538289997754</v>
      </c>
      <c r="W61" s="122">
        <f>Calcs!L63*1000</f>
        <v>2.3798032519097196</v>
      </c>
      <c r="X61" s="118"/>
      <c r="Y61" s="118" t="s">
        <v>34</v>
      </c>
      <c r="Z61" s="118"/>
      <c r="AA61" s="118"/>
    </row>
    <row r="62" spans="1:74">
      <c r="T62" s="30" t="s">
        <v>127</v>
      </c>
      <c r="U62" s="123">
        <f>Calcs!I63*1000</f>
        <v>1.6908785404547477</v>
      </c>
      <c r="V62" s="123">
        <f>Calcs!M63*1000</f>
        <v>1.0671175464425586</v>
      </c>
      <c r="W62" s="123">
        <f>Calcs!N63*1000</f>
        <v>2.5258942322208182</v>
      </c>
      <c r="X62" s="47"/>
      <c r="Y62" s="47" t="s">
        <v>90</v>
      </c>
      <c r="Z62" s="47"/>
      <c r="AA62" s="47"/>
    </row>
    <row r="63" spans="1:74">
      <c r="T63" s="12"/>
      <c r="U63" s="12"/>
      <c r="V63" s="12"/>
      <c r="W63" s="12"/>
      <c r="X63" s="12"/>
      <c r="Y63" s="12"/>
      <c r="Z63" s="12"/>
      <c r="AA63" s="12"/>
    </row>
    <row r="64" spans="1:74" s="22" customFormat="1" ht="2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</row>
  </sheetData>
  <sheetProtection password="EC91" sheet="1" objects="1" scenarios="1"/>
  <mergeCells count="35">
    <mergeCell ref="T10:AA10"/>
    <mergeCell ref="T33:AA33"/>
    <mergeCell ref="B13:B14"/>
    <mergeCell ref="C13:C14"/>
    <mergeCell ref="E13:E14"/>
    <mergeCell ref="U12:Y12"/>
    <mergeCell ref="U22:Y22"/>
    <mergeCell ref="U17:Z17"/>
    <mergeCell ref="U27:Z27"/>
    <mergeCell ref="G4:L4"/>
    <mergeCell ref="G5:L5"/>
    <mergeCell ref="G6:L6"/>
    <mergeCell ref="G13:I13"/>
    <mergeCell ref="B10:I10"/>
    <mergeCell ref="B41:B42"/>
    <mergeCell ref="C41:C42"/>
    <mergeCell ref="E41:F41"/>
    <mergeCell ref="B45:C45"/>
    <mergeCell ref="E40:F40"/>
    <mergeCell ref="U35:Y35"/>
    <mergeCell ref="U43:Y43"/>
    <mergeCell ref="U59:Y59"/>
    <mergeCell ref="F52:G52"/>
    <mergeCell ref="B51:G51"/>
    <mergeCell ref="B47:C47"/>
    <mergeCell ref="B48:C48"/>
    <mergeCell ref="B53:B54"/>
    <mergeCell ref="C53:C54"/>
    <mergeCell ref="E53:E54"/>
    <mergeCell ref="F53:G53"/>
    <mergeCell ref="U51:Y51"/>
    <mergeCell ref="B39:F39"/>
    <mergeCell ref="B46:C46"/>
    <mergeCell ref="E45:F45"/>
    <mergeCell ref="E46:F46"/>
  </mergeCells>
  <pageMargins left="0.7" right="0.7" top="0.75" bottom="0.75" header="0.3" footer="0.3"/>
  <pageSetup paperSize="9"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71"/>
  <sheetViews>
    <sheetView workbookViewId="0">
      <selection activeCell="B4" sqref="B4"/>
    </sheetView>
  </sheetViews>
  <sheetFormatPr defaultColWidth="8.88671875" defaultRowHeight="14.4"/>
  <cols>
    <col min="1" max="1" width="8.88671875" style="17"/>
    <col min="2" max="5" width="13.88671875" customWidth="1"/>
    <col min="6" max="6" width="13.33203125" customWidth="1"/>
    <col min="7" max="7" width="12" customWidth="1"/>
    <col min="8" max="8" width="15" customWidth="1"/>
    <col min="9" max="9" width="13.88671875" customWidth="1"/>
    <col min="10" max="14" width="14.6640625" customWidth="1"/>
    <col min="15" max="15" width="13.88671875" customWidth="1"/>
    <col min="16" max="16" width="15.6640625" customWidth="1"/>
    <col min="17" max="17" width="13.44140625" customWidth="1"/>
    <col min="18" max="18" width="13.33203125" customWidth="1"/>
    <col min="19" max="20" width="11.6640625" customWidth="1"/>
    <col min="21" max="21" width="11.109375" customWidth="1"/>
    <col min="22" max="23" width="12.88671875" customWidth="1"/>
    <col min="24" max="24" width="11.109375" customWidth="1"/>
    <col min="25" max="25" width="11.44140625" customWidth="1"/>
    <col min="26" max="26" width="11.88671875" customWidth="1"/>
    <col min="27" max="30" width="16.33203125" customWidth="1"/>
    <col min="31" max="31" width="14.88671875" customWidth="1"/>
    <col min="33" max="33" width="13.6640625" customWidth="1"/>
    <col min="34" max="34" width="12.109375" customWidth="1"/>
  </cols>
  <sheetData>
    <row r="1" spans="1:39" s="5" customFormat="1" ht="9.9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</row>
    <row r="2" spans="1:39" s="5" customFormat="1" ht="45.9" customHeight="1">
      <c r="A2" s="19"/>
      <c r="B2" s="20" t="s">
        <v>185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</row>
    <row r="3" spans="1:39" s="17" customFormat="1" ht="6.9" customHeight="1">
      <c r="C3" s="15"/>
      <c r="O3" s="5"/>
    </row>
    <row r="4" spans="1:39" s="17" customFormat="1">
      <c r="B4" s="15"/>
      <c r="E4" s="3" t="s">
        <v>57</v>
      </c>
      <c r="F4" s="3" t="s">
        <v>58</v>
      </c>
      <c r="G4" s="184" t="str">
        <f>'Data Entry'!G4</f>
        <v>Pacific Island</v>
      </c>
      <c r="H4" s="184"/>
      <c r="I4" s="184"/>
      <c r="J4" s="184"/>
      <c r="K4" s="184"/>
      <c r="L4" s="184"/>
      <c r="O4" s="5"/>
      <c r="AF4" s="5"/>
    </row>
    <row r="5" spans="1:39" s="17" customFormat="1">
      <c r="B5" s="15"/>
      <c r="C5" s="15"/>
      <c r="F5" s="3" t="s">
        <v>59</v>
      </c>
      <c r="G5" s="184" t="str">
        <f>'Data Entry'!G5</f>
        <v>Males</v>
      </c>
      <c r="H5" s="184"/>
      <c r="I5" s="184"/>
      <c r="J5" s="184"/>
      <c r="K5" s="184"/>
      <c r="L5" s="184"/>
      <c r="O5" s="5"/>
      <c r="AF5" s="5"/>
    </row>
    <row r="6" spans="1:39" s="17" customFormat="1">
      <c r="B6" s="15"/>
      <c r="C6" s="15"/>
      <c r="F6" s="3" t="s">
        <v>60</v>
      </c>
      <c r="G6" s="184" t="str">
        <f>'Data Entry'!G6</f>
        <v>2010-2013</v>
      </c>
      <c r="H6" s="184"/>
      <c r="I6" s="184"/>
      <c r="J6" s="184"/>
      <c r="K6" s="184"/>
      <c r="L6" s="184"/>
      <c r="O6" s="5"/>
      <c r="AF6" s="5"/>
    </row>
    <row r="7" spans="1:39" s="17" customFormat="1" ht="6.9" customHeight="1">
      <c r="C7" s="15"/>
      <c r="O7" s="5"/>
    </row>
    <row r="8" spans="1:39" s="22" customFormat="1" ht="21">
      <c r="A8" s="21"/>
      <c r="B8" s="21" t="s">
        <v>63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</row>
    <row r="9" spans="1:39" s="12" customFormat="1">
      <c r="B9" s="12" t="s">
        <v>69</v>
      </c>
    </row>
    <row r="10" spans="1:39" s="12" customFormat="1">
      <c r="AA10"/>
      <c r="AB10"/>
      <c r="AC10"/>
    </row>
    <row r="11" spans="1:39" s="12" customFormat="1">
      <c r="B11" s="3" t="s">
        <v>70</v>
      </c>
      <c r="J11" s="73" t="s">
        <v>137</v>
      </c>
      <c r="Q11" s="12" t="s">
        <v>136</v>
      </c>
      <c r="AA11" s="12" t="s">
        <v>158</v>
      </c>
    </row>
    <row r="12" spans="1:39" s="12" customFormat="1">
      <c r="B12" s="3"/>
      <c r="C12" s="3"/>
      <c r="F12" s="46"/>
      <c r="H12" s="46"/>
      <c r="R12" s="7"/>
      <c r="S12" s="181" t="s">
        <v>83</v>
      </c>
      <c r="T12" s="181"/>
      <c r="V12" s="181" t="s">
        <v>83</v>
      </c>
      <c r="W12" s="181"/>
    </row>
    <row r="13" spans="1:39" s="12" customFormat="1" ht="15" customHeight="1">
      <c r="B13" s="192" t="s">
        <v>71</v>
      </c>
      <c r="C13" s="205" t="s">
        <v>97</v>
      </c>
      <c r="D13" s="205" t="s">
        <v>72</v>
      </c>
      <c r="E13" s="206" t="s">
        <v>73</v>
      </c>
      <c r="F13" s="181" t="s">
        <v>74</v>
      </c>
      <c r="G13" s="181" t="s">
        <v>93</v>
      </c>
      <c r="H13" s="205" t="s">
        <v>94</v>
      </c>
      <c r="I13" s="203" t="s">
        <v>76</v>
      </c>
      <c r="J13" s="206" t="s">
        <v>77</v>
      </c>
      <c r="K13" s="210" t="s">
        <v>78</v>
      </c>
      <c r="L13" s="211" t="s">
        <v>41</v>
      </c>
      <c r="M13" s="202" t="s">
        <v>79</v>
      </c>
      <c r="N13" s="74" t="s">
        <v>80</v>
      </c>
      <c r="O13" s="74" t="s">
        <v>80</v>
      </c>
      <c r="P13" s="203" t="s">
        <v>81</v>
      </c>
      <c r="Q13" s="203" t="s">
        <v>82</v>
      </c>
      <c r="R13" s="210" t="s">
        <v>162</v>
      </c>
      <c r="S13" s="181" t="s">
        <v>84</v>
      </c>
      <c r="T13" s="181"/>
      <c r="U13" s="158" t="s">
        <v>88</v>
      </c>
      <c r="V13" s="154" t="s">
        <v>84</v>
      </c>
      <c r="W13" s="154"/>
      <c r="X13" s="192" t="s">
        <v>89</v>
      </c>
      <c r="Y13" s="192"/>
      <c r="AA13" s="181" t="s">
        <v>95</v>
      </c>
      <c r="AB13" s="181" t="s">
        <v>153</v>
      </c>
      <c r="AC13" s="181" t="s">
        <v>138</v>
      </c>
      <c r="AD13" s="181" t="s">
        <v>152</v>
      </c>
    </row>
    <row r="14" spans="1:39" s="12" customFormat="1" ht="15" customHeight="1">
      <c r="B14" s="192"/>
      <c r="C14" s="205"/>
      <c r="D14" s="205"/>
      <c r="E14" s="206"/>
      <c r="F14" s="181"/>
      <c r="G14" s="181"/>
      <c r="H14" s="205"/>
      <c r="I14" s="203"/>
      <c r="J14" s="206"/>
      <c r="K14" s="210"/>
      <c r="L14" s="211"/>
      <c r="M14" s="202"/>
      <c r="N14" s="74" t="s">
        <v>54</v>
      </c>
      <c r="O14" s="74" t="s">
        <v>52</v>
      </c>
      <c r="P14" s="203"/>
      <c r="Q14" s="203"/>
      <c r="R14" s="210"/>
      <c r="S14" s="181" t="s">
        <v>85</v>
      </c>
      <c r="T14" s="181"/>
      <c r="U14" s="158"/>
      <c r="V14" s="154" t="s">
        <v>90</v>
      </c>
      <c r="W14" s="154"/>
      <c r="X14" s="154" t="s">
        <v>91</v>
      </c>
      <c r="Y14" s="154"/>
      <c r="AA14" s="181"/>
      <c r="AB14" s="181"/>
      <c r="AC14" s="181"/>
      <c r="AD14" s="181"/>
      <c r="AE14" s="75"/>
    </row>
    <row r="15" spans="1:39" s="12" customFormat="1" ht="16.8">
      <c r="B15" s="76" t="s">
        <v>75</v>
      </c>
      <c r="C15" s="77" t="s">
        <v>0</v>
      </c>
      <c r="D15" s="76" t="s">
        <v>163</v>
      </c>
      <c r="E15" s="78" t="s">
        <v>164</v>
      </c>
      <c r="F15" s="30" t="s">
        <v>98</v>
      </c>
      <c r="G15" s="79" t="s">
        <v>33</v>
      </c>
      <c r="H15" s="79" t="s">
        <v>181</v>
      </c>
      <c r="I15" s="78" t="s">
        <v>165</v>
      </c>
      <c r="J15" s="79" t="s">
        <v>166</v>
      </c>
      <c r="K15" s="78" t="s">
        <v>167</v>
      </c>
      <c r="L15" s="78" t="s">
        <v>168</v>
      </c>
      <c r="M15" s="78" t="s">
        <v>169</v>
      </c>
      <c r="N15" s="78" t="s">
        <v>170</v>
      </c>
      <c r="O15" s="78" t="s">
        <v>170</v>
      </c>
      <c r="P15" s="78" t="s">
        <v>165</v>
      </c>
      <c r="Q15" s="80" t="s">
        <v>171</v>
      </c>
      <c r="R15" s="81" t="s">
        <v>172</v>
      </c>
      <c r="S15" s="82" t="s">
        <v>86</v>
      </c>
      <c r="T15" s="82" t="s">
        <v>87</v>
      </c>
      <c r="U15" s="159"/>
      <c r="V15" s="83" t="s">
        <v>86</v>
      </c>
      <c r="W15" s="83" t="s">
        <v>87</v>
      </c>
      <c r="X15" s="142" t="s">
        <v>20</v>
      </c>
      <c r="Y15" s="142" t="s">
        <v>21</v>
      </c>
      <c r="Z15" s="47"/>
      <c r="AA15" s="30" t="s">
        <v>24</v>
      </c>
      <c r="AB15" s="48" t="s">
        <v>25</v>
      </c>
      <c r="AC15" s="30" t="s">
        <v>160</v>
      </c>
      <c r="AD15" s="31" t="s">
        <v>173</v>
      </c>
    </row>
    <row r="16" spans="1:39" s="12" customFormat="1">
      <c r="B16" s="84" t="s">
        <v>17</v>
      </c>
      <c r="C16" s="85">
        <v>0</v>
      </c>
      <c r="D16" s="85">
        <v>5</v>
      </c>
      <c r="E16" s="23">
        <v>0.2</v>
      </c>
      <c r="F16" s="86">
        <f>'Data Entry'!E18</f>
        <v>13663</v>
      </c>
      <c r="G16" s="46">
        <f>'Data Entry'!C18</f>
        <v>21</v>
      </c>
      <c r="H16" s="87">
        <f>+G16+(G16*$G$33/$G$35)</f>
        <v>23.102473498233216</v>
      </c>
      <c r="I16" s="88">
        <f>H16/F16</f>
        <v>1.6908785404547476E-3</v>
      </c>
      <c r="J16" s="88">
        <f t="shared" ref="J16:J31" si="0">+I16*D16</f>
        <v>8.4543927022737372E-3</v>
      </c>
      <c r="K16" s="89">
        <f t="shared" ref="K16:K31" si="1">+I16*(D16^2)/F16</f>
        <v>3.0939005717169505E-6</v>
      </c>
      <c r="L16" s="90">
        <f>(D16*I16)/(1+(D16*(1-E16)*I16))</f>
        <v>8.3975954465457976E-3</v>
      </c>
      <c r="M16" s="88">
        <f t="shared" ref="M16:M31" si="2">1-L16</f>
        <v>0.99160240455345416</v>
      </c>
      <c r="N16" s="49">
        <f t="shared" ref="N16:N31" si="3">+L16^2*(1-L16)/H16</f>
        <v>3.0268366778726209E-6</v>
      </c>
      <c r="O16" s="91">
        <f t="shared" ref="O16:O31" si="4">(D16^2*I16*(1-E16*D16*I16))/(F16*(1+(1-E16)*D16*I16)^3)</f>
        <v>3.0268366778726213E-6</v>
      </c>
      <c r="P16" s="50">
        <f t="shared" ref="P16:P31" si="5">+I16</f>
        <v>1.6908785404547476E-3</v>
      </c>
      <c r="Q16" s="51">
        <f t="shared" ref="Q16:Q31" si="6">IF(H16=0, ,P16*1000)</f>
        <v>1.6908785404547477</v>
      </c>
      <c r="R16" s="50">
        <f t="shared" ref="R16:R31" si="7">SQRT((P16*(1-P16))/F16)</f>
        <v>3.5149219972192456E-4</v>
      </c>
      <c r="S16" s="51">
        <f t="shared" ref="S16:S31" si="8">IF(H16=0,"NA",(1000*(P16-(1.96*R16))))</f>
        <v>1.0019538289997754</v>
      </c>
      <c r="T16" s="51">
        <f t="shared" ref="T16:T31" si="9">IF(H16=0,"NA",(1000*(P16+(1.96*R16))))</f>
        <v>2.3798032519097196</v>
      </c>
      <c r="U16" s="52">
        <f t="shared" ref="U16:U31" si="10">IF(H16=0,0,IF(H16&lt;1,1,H16))</f>
        <v>23.102473498233216</v>
      </c>
      <c r="V16" s="51">
        <f t="shared" ref="V16:V31" si="11">IF(U16&gt;100,"NA",IF(U16=0, ,(CHIINV(0.975,2*U16)/2))*1000/F16)</f>
        <v>1.0671175464425586</v>
      </c>
      <c r="W16" s="51">
        <f t="shared" ref="W16:W31" si="12">IF(U16&gt;100,"NA",IF(U16=0, ,(CHIINV(0.025,2*(U16+1)/2))/F16)*1000)</f>
        <v>2.881071289365726</v>
      </c>
      <c r="X16" s="51">
        <f t="shared" ref="X16:X31" si="13">IF(H16=0, ,IF(H16&lt;100,Q16-V16,Q16-S16))</f>
        <v>0.6237609940121891</v>
      </c>
      <c r="Y16" s="51">
        <f t="shared" ref="Y16:Y31" si="14">IF(H16=0, ,IF(H16&lt;100,W16-Q16,T16-Q16))</f>
        <v>1.1901927489109783</v>
      </c>
      <c r="AA16" s="12">
        <f>'Data Entry'!G18</f>
        <v>8.86</v>
      </c>
      <c r="AB16" s="53">
        <f>AA16^2</f>
        <v>78.499599999999987</v>
      </c>
      <c r="AC16" s="54">
        <f t="shared" ref="AC16:AC31" si="15">I16*AA16</f>
        <v>1.4981183868429063E-2</v>
      </c>
      <c r="AD16" s="54">
        <f t="shared" ref="AD16:AD31" si="16">AB16*I16*(1-I16)/F16</f>
        <v>9.6983717488239621E-6</v>
      </c>
    </row>
    <row r="17" spans="2:30" s="12" customFormat="1">
      <c r="B17" s="92" t="s">
        <v>1</v>
      </c>
      <c r="C17" s="93">
        <v>5</v>
      </c>
      <c r="D17" s="85">
        <v>5</v>
      </c>
      <c r="E17" s="23">
        <v>0.5</v>
      </c>
      <c r="F17" s="86">
        <f>'Data Entry'!E19</f>
        <v>15519</v>
      </c>
      <c r="G17" s="46">
        <f>'Data Entry'!C19</f>
        <v>2</v>
      </c>
      <c r="H17" s="87">
        <f t="shared" ref="H17:H31" si="17">+G17+(G17*$G$33/$G$35)</f>
        <v>2.2002355712603063</v>
      </c>
      <c r="I17" s="88">
        <f t="shared" ref="I16:I31" si="18">H17/F17</f>
        <v>1.4177689098912987E-4</v>
      </c>
      <c r="J17" s="88">
        <f t="shared" si="0"/>
        <v>7.0888445494564931E-4</v>
      </c>
      <c r="K17" s="89">
        <f t="shared" si="1"/>
        <v>2.283924398948545E-7</v>
      </c>
      <c r="L17" s="90">
        <f t="shared" ref="L17:L31" si="19">D17*I17/(1+D17*(1-E17)*I17)</f>
        <v>7.0863328538551585E-4</v>
      </c>
      <c r="M17" s="88">
        <f t="shared" si="2"/>
        <v>0.99929136671461449</v>
      </c>
      <c r="N17" s="49">
        <f t="shared" si="3"/>
        <v>2.2806889026671442E-7</v>
      </c>
      <c r="O17" s="91">
        <f t="shared" si="4"/>
        <v>2.2806889026671448E-7</v>
      </c>
      <c r="P17" s="50">
        <f t="shared" si="5"/>
        <v>1.4177689098912987E-4</v>
      </c>
      <c r="Q17" s="51">
        <f t="shared" si="6"/>
        <v>0.14177689098912988</v>
      </c>
      <c r="R17" s="50">
        <f t="shared" si="7"/>
        <v>9.557406742936094E-5</v>
      </c>
      <c r="S17" s="51">
        <f t="shared" si="8"/>
        <v>-4.5548281172417562E-2</v>
      </c>
      <c r="T17" s="51">
        <f t="shared" si="9"/>
        <v>0.3291020631506773</v>
      </c>
      <c r="U17" s="52">
        <f t="shared" si="10"/>
        <v>2.2002355712603063</v>
      </c>
      <c r="V17" s="51">
        <f t="shared" si="11"/>
        <v>1.5607273570717518E-2</v>
      </c>
      <c r="W17" s="51">
        <f t="shared" si="12"/>
        <v>0.60238440650145941</v>
      </c>
      <c r="X17" s="51">
        <f t="shared" si="13"/>
        <v>0.12616961741841237</v>
      </c>
      <c r="Y17" s="51">
        <f t="shared" si="14"/>
        <v>0.46060751551232954</v>
      </c>
      <c r="AA17" s="12">
        <f>'Data Entry'!G19</f>
        <v>8.69</v>
      </c>
      <c r="AB17" s="53">
        <f t="shared" ref="AB17:AB31" si="20">AA17^2</f>
        <v>75.516099999999994</v>
      </c>
      <c r="AC17" s="54">
        <f t="shared" si="15"/>
        <v>1.2320411826955385E-3</v>
      </c>
      <c r="AD17" s="54">
        <f t="shared" si="16"/>
        <v>6.8979444243497461E-7</v>
      </c>
    </row>
    <row r="18" spans="2:30" s="12" customFormat="1">
      <c r="B18" s="92" t="s">
        <v>2</v>
      </c>
      <c r="C18" s="93">
        <v>10</v>
      </c>
      <c r="D18" s="85">
        <v>5</v>
      </c>
      <c r="E18" s="23">
        <v>0.5</v>
      </c>
      <c r="F18" s="86">
        <f>'Data Entry'!E20</f>
        <v>16409</v>
      </c>
      <c r="G18" s="46">
        <f>'Data Entry'!C20</f>
        <v>4</v>
      </c>
      <c r="H18" s="87">
        <f t="shared" si="17"/>
        <v>4.4004711425206127</v>
      </c>
      <c r="I18" s="88">
        <f t="shared" si="18"/>
        <v>2.6817424233777884E-4</v>
      </c>
      <c r="J18" s="88">
        <f t="shared" si="0"/>
        <v>1.3408712116888943E-3</v>
      </c>
      <c r="K18" s="89">
        <f t="shared" si="1"/>
        <v>4.0857797906298198E-7</v>
      </c>
      <c r="L18" s="90">
        <f t="shared" si="19"/>
        <v>1.3399728461819492E-3</v>
      </c>
      <c r="M18" s="88">
        <f t="shared" si="2"/>
        <v>0.99866002715381808</v>
      </c>
      <c r="N18" s="49">
        <f t="shared" si="3"/>
        <v>4.0748392903835011E-7</v>
      </c>
      <c r="O18" s="91">
        <f t="shared" si="4"/>
        <v>4.0748392903835E-7</v>
      </c>
      <c r="P18" s="50">
        <f t="shared" si="5"/>
        <v>2.6817424233777884E-4</v>
      </c>
      <c r="Q18" s="51">
        <f t="shared" si="6"/>
        <v>0.26817424233777887</v>
      </c>
      <c r="R18" s="50">
        <f t="shared" si="7"/>
        <v>1.2782306661522573E-4</v>
      </c>
      <c r="S18" s="51">
        <f t="shared" si="8"/>
        <v>1.7641031771936416E-2</v>
      </c>
      <c r="T18" s="51">
        <f t="shared" si="9"/>
        <v>0.5187074529036213</v>
      </c>
      <c r="U18" s="52">
        <f t="shared" si="10"/>
        <v>4.4004711425206127</v>
      </c>
      <c r="V18" s="51">
        <f t="shared" si="11"/>
        <v>6.6418756391390402E-2</v>
      </c>
      <c r="W18" s="51">
        <f t="shared" si="12"/>
        <v>0.78204046523432436</v>
      </c>
      <c r="X18" s="51">
        <f t="shared" si="13"/>
        <v>0.20175548594638848</v>
      </c>
      <c r="Y18" s="51">
        <f t="shared" si="14"/>
        <v>0.51386622289654549</v>
      </c>
      <c r="AA18" s="53">
        <f>'Data Entry'!G20</f>
        <v>8.6</v>
      </c>
      <c r="AB18" s="53">
        <f t="shared" si="20"/>
        <v>73.959999999999994</v>
      </c>
      <c r="AC18" s="54">
        <f t="shared" si="15"/>
        <v>2.3062984841048981E-3</v>
      </c>
      <c r="AD18" s="54">
        <f t="shared" si="16"/>
        <v>1.2084129411057552E-6</v>
      </c>
    </row>
    <row r="19" spans="2:30" s="12" customFormat="1">
      <c r="B19" s="84" t="s">
        <v>3</v>
      </c>
      <c r="C19" s="85">
        <v>15</v>
      </c>
      <c r="D19" s="85">
        <v>5</v>
      </c>
      <c r="E19" s="23">
        <v>0.5</v>
      </c>
      <c r="F19" s="86">
        <f>'Data Entry'!E21</f>
        <v>16133</v>
      </c>
      <c r="G19" s="46">
        <f>'Data Entry'!C21</f>
        <v>9</v>
      </c>
      <c r="H19" s="87">
        <f t="shared" si="17"/>
        <v>9.9010600706713774</v>
      </c>
      <c r="I19" s="88">
        <f t="shared" si="18"/>
        <v>6.1371475055298935E-4</v>
      </c>
      <c r="J19" s="88">
        <f t="shared" si="0"/>
        <v>3.0685737527649465E-3</v>
      </c>
      <c r="K19" s="89">
        <f t="shared" si="1"/>
        <v>9.5102391147491062E-7</v>
      </c>
      <c r="L19" s="90">
        <f t="shared" si="19"/>
        <v>3.0638728927946273E-3</v>
      </c>
      <c r="M19" s="88">
        <f t="shared" si="2"/>
        <v>0.99693612710720536</v>
      </c>
      <c r="N19" s="49">
        <f t="shared" si="3"/>
        <v>9.4520743132493277E-7</v>
      </c>
      <c r="O19" s="91">
        <f t="shared" si="4"/>
        <v>9.4520743132493288E-7</v>
      </c>
      <c r="P19" s="50">
        <f t="shared" si="5"/>
        <v>6.1371475055298935E-4</v>
      </c>
      <c r="Q19" s="51">
        <f t="shared" si="6"/>
        <v>0.6137147505529893</v>
      </c>
      <c r="R19" s="50">
        <f t="shared" si="7"/>
        <v>1.9498105077902416E-4</v>
      </c>
      <c r="S19" s="51">
        <f t="shared" si="8"/>
        <v>0.23155189102610199</v>
      </c>
      <c r="T19" s="51">
        <f t="shared" si="9"/>
        <v>0.99587761007987663</v>
      </c>
      <c r="U19" s="52">
        <f t="shared" si="10"/>
        <v>9.9010600706713774</v>
      </c>
      <c r="V19" s="51">
        <f t="shared" si="11"/>
        <v>0.27603410655141558</v>
      </c>
      <c r="W19" s="51">
        <f t="shared" si="12"/>
        <v>1.2696446631629206</v>
      </c>
      <c r="X19" s="51">
        <f t="shared" si="13"/>
        <v>0.33768064400157372</v>
      </c>
      <c r="Y19" s="51">
        <f t="shared" si="14"/>
        <v>0.65592991260993128</v>
      </c>
      <c r="AA19" s="12">
        <f>'Data Entry'!G21</f>
        <v>8.4700000000000006</v>
      </c>
      <c r="AB19" s="53">
        <f t="shared" si="20"/>
        <v>71.740900000000011</v>
      </c>
      <c r="AC19" s="54">
        <f t="shared" si="15"/>
        <v>5.1981639371838206E-3</v>
      </c>
      <c r="AD19" s="54">
        <f t="shared" si="16"/>
        <v>2.7274175689350474E-6</v>
      </c>
    </row>
    <row r="20" spans="2:30" s="12" customFormat="1">
      <c r="B20" s="84" t="s">
        <v>4</v>
      </c>
      <c r="C20" s="93">
        <v>20</v>
      </c>
      <c r="D20" s="85">
        <v>5</v>
      </c>
      <c r="E20" s="23">
        <v>0.5</v>
      </c>
      <c r="F20" s="86">
        <f>'Data Entry'!E22</f>
        <v>21482</v>
      </c>
      <c r="G20" s="46">
        <f>'Data Entry'!C22</f>
        <v>21</v>
      </c>
      <c r="H20" s="87">
        <f t="shared" si="17"/>
        <v>23.102473498233216</v>
      </c>
      <c r="I20" s="88">
        <f t="shared" si="18"/>
        <v>1.0754340144415425E-3</v>
      </c>
      <c r="J20" s="88">
        <f t="shared" si="0"/>
        <v>5.3771700722077126E-3</v>
      </c>
      <c r="K20" s="89">
        <f t="shared" si="1"/>
        <v>1.2515524793333285E-6</v>
      </c>
      <c r="L20" s="90">
        <f t="shared" si="19"/>
        <v>5.3627518578104657E-3</v>
      </c>
      <c r="M20" s="88">
        <f t="shared" si="2"/>
        <v>0.99463724814218957</v>
      </c>
      <c r="N20" s="49">
        <f t="shared" si="3"/>
        <v>1.2381738922251998E-6</v>
      </c>
      <c r="O20" s="91">
        <f t="shared" si="4"/>
        <v>1.2381738922251998E-6</v>
      </c>
      <c r="P20" s="50">
        <f t="shared" si="5"/>
        <v>1.0754340144415425E-3</v>
      </c>
      <c r="Q20" s="51">
        <f t="shared" si="6"/>
        <v>1.0754340144415424</v>
      </c>
      <c r="R20" s="50">
        <f t="shared" si="7"/>
        <v>2.236252684493588E-4</v>
      </c>
      <c r="S20" s="51">
        <f t="shared" si="8"/>
        <v>0.63712848828079927</v>
      </c>
      <c r="T20" s="51">
        <f t="shared" si="9"/>
        <v>1.5137395406022855</v>
      </c>
      <c r="U20" s="52">
        <f t="shared" si="10"/>
        <v>23.102473498233216</v>
      </c>
      <c r="V20" s="51">
        <f t="shared" si="11"/>
        <v>0.67870901392070937</v>
      </c>
      <c r="W20" s="51">
        <f t="shared" si="12"/>
        <v>1.8324214238247796</v>
      </c>
      <c r="X20" s="51">
        <f t="shared" si="13"/>
        <v>0.39672500052083304</v>
      </c>
      <c r="Y20" s="51">
        <f t="shared" si="14"/>
        <v>0.75698740938323716</v>
      </c>
      <c r="AA20" s="12">
        <f>'Data Entry'!G22</f>
        <v>8.2200000000000006</v>
      </c>
      <c r="AB20" s="53">
        <f t="shared" si="20"/>
        <v>67.568400000000011</v>
      </c>
      <c r="AC20" s="54">
        <f t="shared" si="15"/>
        <v>8.8400675987094796E-3</v>
      </c>
      <c r="AD20" s="54">
        <f t="shared" si="16"/>
        <v>3.3789781615418572E-6</v>
      </c>
    </row>
    <row r="21" spans="2:30" s="12" customFormat="1">
      <c r="B21" s="84" t="s">
        <v>5</v>
      </c>
      <c r="C21" s="93">
        <v>25</v>
      </c>
      <c r="D21" s="85">
        <v>5</v>
      </c>
      <c r="E21" s="23">
        <v>0.5</v>
      </c>
      <c r="F21" s="86">
        <f>'Data Entry'!E23</f>
        <v>15997</v>
      </c>
      <c r="G21" s="46">
        <f>'Data Entry'!C23</f>
        <v>22</v>
      </c>
      <c r="H21" s="87">
        <f t="shared" si="17"/>
        <v>24.20259128386337</v>
      </c>
      <c r="I21" s="88">
        <f t="shared" si="18"/>
        <v>1.5129456325475633E-3</v>
      </c>
      <c r="J21" s="88">
        <f t="shared" si="0"/>
        <v>7.564728162737816E-3</v>
      </c>
      <c r="K21" s="89">
        <f t="shared" si="1"/>
        <v>2.3644208797705245E-6</v>
      </c>
      <c r="L21" s="90">
        <f t="shared" si="19"/>
        <v>7.5362234219574324E-3</v>
      </c>
      <c r="M21" s="88">
        <f t="shared" si="2"/>
        <v>0.99246377657804252</v>
      </c>
      <c r="N21" s="49">
        <f t="shared" si="3"/>
        <v>2.3289508768504928E-6</v>
      </c>
      <c r="O21" s="91">
        <f t="shared" si="4"/>
        <v>2.3289508768504928E-6</v>
      </c>
      <c r="P21" s="50">
        <f t="shared" si="5"/>
        <v>1.5129456325475633E-3</v>
      </c>
      <c r="Q21" s="51">
        <f t="shared" si="6"/>
        <v>1.5129456325475632</v>
      </c>
      <c r="R21" s="50">
        <f t="shared" si="7"/>
        <v>3.0730074126347117E-4</v>
      </c>
      <c r="S21" s="51">
        <f t="shared" si="8"/>
        <v>0.91063617967115984</v>
      </c>
      <c r="T21" s="51">
        <f t="shared" si="9"/>
        <v>2.1152550854239669</v>
      </c>
      <c r="U21" s="52">
        <f t="shared" si="10"/>
        <v>24.20259128386337</v>
      </c>
      <c r="V21" s="51">
        <f t="shared" si="11"/>
        <v>0.96125853939404049</v>
      </c>
      <c r="W21" s="51">
        <f t="shared" si="12"/>
        <v>2.5408807351550418</v>
      </c>
      <c r="X21" s="51">
        <f t="shared" si="13"/>
        <v>0.55168709315352271</v>
      </c>
      <c r="Y21" s="51">
        <f t="shared" si="14"/>
        <v>1.0279351026074786</v>
      </c>
      <c r="AA21" s="12">
        <f>'Data Entry'!G23</f>
        <v>7.93</v>
      </c>
      <c r="AB21" s="53">
        <f t="shared" si="20"/>
        <v>62.884899999999995</v>
      </c>
      <c r="AC21" s="54">
        <f t="shared" si="15"/>
        <v>1.1997658866102176E-2</v>
      </c>
      <c r="AD21" s="54">
        <f t="shared" si="16"/>
        <v>5.9384566474915848E-6</v>
      </c>
    </row>
    <row r="22" spans="2:30" s="12" customFormat="1">
      <c r="B22" s="84" t="s">
        <v>6</v>
      </c>
      <c r="C22" s="85">
        <v>30</v>
      </c>
      <c r="D22" s="85">
        <v>5</v>
      </c>
      <c r="E22" s="23">
        <v>0.5</v>
      </c>
      <c r="F22" s="86">
        <f>'Data Entry'!E24</f>
        <v>16026</v>
      </c>
      <c r="G22" s="46">
        <f>'Data Entry'!C24</f>
        <v>35</v>
      </c>
      <c r="H22" s="87">
        <f t="shared" si="17"/>
        <v>38.504122497055363</v>
      </c>
      <c r="I22" s="88">
        <f t="shared" si="18"/>
        <v>2.4026034254995233E-3</v>
      </c>
      <c r="J22" s="88">
        <f t="shared" si="0"/>
        <v>1.2013017127497617E-2</v>
      </c>
      <c r="K22" s="89">
        <f t="shared" si="1"/>
        <v>3.7479773890857409E-6</v>
      </c>
      <c r="L22" s="90">
        <f t="shared" si="19"/>
        <v>1.1941291656898235E-2</v>
      </c>
      <c r="M22" s="88">
        <f t="shared" si="2"/>
        <v>0.98805870834310172</v>
      </c>
      <c r="N22" s="49">
        <f t="shared" si="3"/>
        <v>3.6591324623057345E-6</v>
      </c>
      <c r="O22" s="91">
        <f t="shared" si="4"/>
        <v>3.6591324623057345E-6</v>
      </c>
      <c r="P22" s="50">
        <f t="shared" si="5"/>
        <v>2.4026034254995233E-3</v>
      </c>
      <c r="Q22" s="51">
        <f t="shared" si="6"/>
        <v>2.4026034254995232</v>
      </c>
      <c r="R22" s="50">
        <f t="shared" si="7"/>
        <v>3.8672845697062581E-4</v>
      </c>
      <c r="S22" s="51">
        <f t="shared" si="8"/>
        <v>1.6446156498370967</v>
      </c>
      <c r="T22" s="51">
        <f t="shared" si="9"/>
        <v>3.1605912011619499</v>
      </c>
      <c r="U22" s="52">
        <f t="shared" si="10"/>
        <v>38.504122497055363</v>
      </c>
      <c r="V22" s="51">
        <f t="shared" si="11"/>
        <v>1.7042106115549431</v>
      </c>
      <c r="W22" s="51">
        <f t="shared" si="12"/>
        <v>3.6266104913694162</v>
      </c>
      <c r="X22" s="51">
        <f t="shared" si="13"/>
        <v>0.69839281394458008</v>
      </c>
      <c r="Y22" s="51">
        <f t="shared" si="14"/>
        <v>1.2240070658698929</v>
      </c>
      <c r="AA22" s="12">
        <f>'Data Entry'!G24</f>
        <v>7.61</v>
      </c>
      <c r="AB22" s="53">
        <f t="shared" si="20"/>
        <v>57.912100000000002</v>
      </c>
      <c r="AC22" s="54">
        <f t="shared" si="15"/>
        <v>1.8283812068051374E-2</v>
      </c>
      <c r="AD22" s="54">
        <f t="shared" si="16"/>
        <v>8.6612699397311333E-6</v>
      </c>
    </row>
    <row r="23" spans="2:30" s="12" customFormat="1">
      <c r="B23" s="84" t="s">
        <v>7</v>
      </c>
      <c r="C23" s="93">
        <v>35</v>
      </c>
      <c r="D23" s="85">
        <v>5</v>
      </c>
      <c r="E23" s="23">
        <v>0.5</v>
      </c>
      <c r="F23" s="86">
        <f>'Data Entry'!E25</f>
        <v>19800</v>
      </c>
      <c r="G23" s="46">
        <f>'Data Entry'!C25</f>
        <v>34</v>
      </c>
      <c r="H23" s="87">
        <f t="shared" si="17"/>
        <v>37.404004711425209</v>
      </c>
      <c r="I23" s="88">
        <f t="shared" si="18"/>
        <v>1.8890911470416773E-3</v>
      </c>
      <c r="J23" s="88">
        <f t="shared" si="0"/>
        <v>9.4454557352083857E-3</v>
      </c>
      <c r="K23" s="89">
        <f t="shared" si="1"/>
        <v>2.3852160947495926E-6</v>
      </c>
      <c r="L23" s="90">
        <f t="shared" si="19"/>
        <v>9.4010571008532485E-3</v>
      </c>
      <c r="M23" s="88">
        <f t="shared" si="2"/>
        <v>0.99059894289914674</v>
      </c>
      <c r="N23" s="49">
        <f t="shared" si="3"/>
        <v>2.3406320002668934E-6</v>
      </c>
      <c r="O23" s="91">
        <f t="shared" si="4"/>
        <v>2.3406320002668943E-6</v>
      </c>
      <c r="P23" s="50">
        <f t="shared" si="5"/>
        <v>1.8890911470416773E-3</v>
      </c>
      <c r="Q23" s="51">
        <f t="shared" si="6"/>
        <v>1.8890911470416774</v>
      </c>
      <c r="R23" s="50">
        <f t="shared" si="7"/>
        <v>3.0859100467390296E-4</v>
      </c>
      <c r="S23" s="51">
        <f t="shared" si="8"/>
        <v>1.2842527778808275</v>
      </c>
      <c r="T23" s="51">
        <f t="shared" si="9"/>
        <v>2.493929516202527</v>
      </c>
      <c r="U23" s="52">
        <f t="shared" si="10"/>
        <v>37.404004711425209</v>
      </c>
      <c r="V23" s="51">
        <f t="shared" si="11"/>
        <v>1.3157280084396985</v>
      </c>
      <c r="W23" s="51">
        <f t="shared" si="12"/>
        <v>2.8735111381341403</v>
      </c>
      <c r="X23" s="51">
        <f t="shared" si="13"/>
        <v>0.57336313860197885</v>
      </c>
      <c r="Y23" s="51">
        <f t="shared" si="14"/>
        <v>0.98441999109246292</v>
      </c>
      <c r="AA23" s="12">
        <f>'Data Entry'!G25</f>
        <v>7.15</v>
      </c>
      <c r="AB23" s="53">
        <f t="shared" si="20"/>
        <v>51.122500000000002</v>
      </c>
      <c r="AC23" s="54">
        <f t="shared" si="15"/>
        <v>1.3507001701347993E-2</v>
      </c>
      <c r="AD23" s="54">
        <f t="shared" si="16"/>
        <v>4.8683142964483801E-6</v>
      </c>
    </row>
    <row r="24" spans="2:30" s="12" customFormat="1">
      <c r="B24" s="84" t="s">
        <v>8</v>
      </c>
      <c r="C24" s="93">
        <v>40</v>
      </c>
      <c r="D24" s="85">
        <v>5</v>
      </c>
      <c r="E24" s="23">
        <v>0.5</v>
      </c>
      <c r="F24" s="86">
        <f>'Data Entry'!E26</f>
        <v>16076</v>
      </c>
      <c r="G24" s="46">
        <f>'Data Entry'!C26</f>
        <v>39</v>
      </c>
      <c r="H24" s="87">
        <f t="shared" si="17"/>
        <v>42.904593639575971</v>
      </c>
      <c r="I24" s="88">
        <f t="shared" si="18"/>
        <v>2.6688600173908916E-3</v>
      </c>
      <c r="J24" s="88">
        <f t="shared" si="0"/>
        <v>1.3344300086954457E-2</v>
      </c>
      <c r="K24" s="89">
        <f t="shared" si="1"/>
        <v>4.1503794746685927E-6</v>
      </c>
      <c r="L24" s="90">
        <f t="shared" si="19"/>
        <v>1.3255855033218243E-2</v>
      </c>
      <c r="M24" s="88">
        <f t="shared" si="2"/>
        <v>0.98674414496678176</v>
      </c>
      <c r="N24" s="49">
        <f t="shared" si="3"/>
        <v>4.0412550193941415E-6</v>
      </c>
      <c r="O24" s="91">
        <f t="shared" si="4"/>
        <v>4.0412550193941415E-6</v>
      </c>
      <c r="P24" s="50">
        <f t="shared" si="5"/>
        <v>2.6688600173908916E-3</v>
      </c>
      <c r="Q24" s="51">
        <f t="shared" si="6"/>
        <v>2.6688600173908914</v>
      </c>
      <c r="R24" s="50">
        <f t="shared" si="7"/>
        <v>4.069055267666759E-4</v>
      </c>
      <c r="S24" s="51">
        <f t="shared" si="8"/>
        <v>1.8713251849282069</v>
      </c>
      <c r="T24" s="51">
        <f t="shared" si="9"/>
        <v>3.4663948498535762</v>
      </c>
      <c r="U24" s="52">
        <f t="shared" si="10"/>
        <v>42.904593639575971</v>
      </c>
      <c r="V24" s="51">
        <f t="shared" si="11"/>
        <v>1.9093298887537802</v>
      </c>
      <c r="W24" s="51">
        <f t="shared" si="12"/>
        <v>3.918285365209131</v>
      </c>
      <c r="X24" s="51">
        <f t="shared" si="13"/>
        <v>0.75953012863711122</v>
      </c>
      <c r="Y24" s="51">
        <f t="shared" si="14"/>
        <v>1.2494253478182396</v>
      </c>
      <c r="AA24" s="12">
        <f>'Data Entry'!G26</f>
        <v>6.59</v>
      </c>
      <c r="AB24" s="53">
        <f t="shared" si="20"/>
        <v>43.428100000000001</v>
      </c>
      <c r="AC24" s="54">
        <f t="shared" si="15"/>
        <v>1.7587787514605976E-2</v>
      </c>
      <c r="AD24" s="54">
        <f t="shared" si="16"/>
        <v>7.190482050982487E-6</v>
      </c>
    </row>
    <row r="25" spans="2:30" s="12" customFormat="1">
      <c r="B25" s="84" t="s">
        <v>9</v>
      </c>
      <c r="C25" s="85">
        <v>45</v>
      </c>
      <c r="D25" s="85">
        <v>5</v>
      </c>
      <c r="E25" s="23">
        <v>0.5</v>
      </c>
      <c r="F25" s="86">
        <f>'Data Entry'!E27</f>
        <v>13404</v>
      </c>
      <c r="G25" s="46">
        <f>'Data Entry'!C27</f>
        <v>59</v>
      </c>
      <c r="H25" s="87">
        <f t="shared" si="17"/>
        <v>64.906949352179041</v>
      </c>
      <c r="I25" s="88">
        <f t="shared" si="18"/>
        <v>4.8423567108459445E-3</v>
      </c>
      <c r="J25" s="88">
        <f t="shared" si="0"/>
        <v>2.4211783554229722E-2</v>
      </c>
      <c r="K25" s="89">
        <f t="shared" si="1"/>
        <v>9.0315516093068209E-6</v>
      </c>
      <c r="L25" s="90">
        <f t="shared" si="19"/>
        <v>2.3922184181456797E-2</v>
      </c>
      <c r="M25" s="88">
        <f t="shared" si="2"/>
        <v>0.97607781581854325</v>
      </c>
      <c r="N25" s="49">
        <f t="shared" si="3"/>
        <v>8.6058724344701293E-6</v>
      </c>
      <c r="O25" s="91">
        <f t="shared" si="4"/>
        <v>8.605872434470131E-6</v>
      </c>
      <c r="P25" s="50">
        <f t="shared" si="5"/>
        <v>4.8423567108459445E-3</v>
      </c>
      <c r="Q25" s="51">
        <f t="shared" si="6"/>
        <v>4.8423567108459444</v>
      </c>
      <c r="R25" s="50">
        <f t="shared" si="7"/>
        <v>5.9959378298184986E-4</v>
      </c>
      <c r="S25" s="51">
        <f t="shared" si="8"/>
        <v>3.6671528962015185</v>
      </c>
      <c r="T25" s="51">
        <f t="shared" si="9"/>
        <v>6.0175605254903699</v>
      </c>
      <c r="U25" s="52">
        <f t="shared" si="10"/>
        <v>64.906949352179041</v>
      </c>
      <c r="V25" s="51">
        <f t="shared" si="11"/>
        <v>3.7098324743888487</v>
      </c>
      <c r="W25" s="51">
        <f t="shared" si="12"/>
        <v>6.6530248430883452</v>
      </c>
      <c r="X25" s="51">
        <f t="shared" si="13"/>
        <v>1.1325242364570958</v>
      </c>
      <c r="Y25" s="51">
        <f t="shared" si="14"/>
        <v>1.8106681322424008</v>
      </c>
      <c r="AA25" s="12">
        <f>'Data Entry'!G27</f>
        <v>6.04</v>
      </c>
      <c r="AB25" s="53">
        <f t="shared" si="20"/>
        <v>36.4816</v>
      </c>
      <c r="AC25" s="54">
        <f t="shared" si="15"/>
        <v>2.9247834533509504E-2</v>
      </c>
      <c r="AD25" s="54">
        <f t="shared" si="16"/>
        <v>1.3115598683788261E-5</v>
      </c>
    </row>
    <row r="26" spans="2:30" s="12" customFormat="1">
      <c r="B26" s="84" t="s">
        <v>10</v>
      </c>
      <c r="C26" s="93">
        <v>50</v>
      </c>
      <c r="D26" s="85">
        <v>5</v>
      </c>
      <c r="E26" s="23">
        <v>0.5</v>
      </c>
      <c r="F26" s="86">
        <f>'Data Entry'!E28</f>
        <v>13027</v>
      </c>
      <c r="G26" s="46">
        <f>'Data Entry'!C28</f>
        <v>108</v>
      </c>
      <c r="H26" s="87">
        <f t="shared" si="17"/>
        <v>118.81272084805654</v>
      </c>
      <c r="I26" s="88">
        <f t="shared" si="18"/>
        <v>9.1204974935178117E-3</v>
      </c>
      <c r="J26" s="88">
        <f t="shared" si="0"/>
        <v>4.5602487467589062E-2</v>
      </c>
      <c r="K26" s="89">
        <f t="shared" si="1"/>
        <v>1.7503065735621809E-5</v>
      </c>
      <c r="L26" s="90">
        <f t="shared" si="19"/>
        <v>4.4585874085481716E-2</v>
      </c>
      <c r="M26" s="88">
        <f t="shared" si="2"/>
        <v>0.95541412591451824</v>
      </c>
      <c r="N26" s="49">
        <f t="shared" si="3"/>
        <v>1.5985391865672758E-5</v>
      </c>
      <c r="O26" s="91">
        <f t="shared" si="4"/>
        <v>1.5985391865672754E-5</v>
      </c>
      <c r="P26" s="50">
        <f t="shared" si="5"/>
        <v>9.1204974935178117E-3</v>
      </c>
      <c r="Q26" s="51">
        <f t="shared" si="6"/>
        <v>9.1204974935178118</v>
      </c>
      <c r="R26" s="50">
        <f t="shared" si="7"/>
        <v>8.3290885620099372E-4</v>
      </c>
      <c r="S26" s="51">
        <f t="shared" si="8"/>
        <v>7.4879961353638649</v>
      </c>
      <c r="T26" s="51">
        <f t="shared" si="9"/>
        <v>10.752998851671759</v>
      </c>
      <c r="U26" s="52">
        <f t="shared" si="10"/>
        <v>118.81272084805654</v>
      </c>
      <c r="V26" s="51" t="str">
        <f t="shared" si="11"/>
        <v>NA</v>
      </c>
      <c r="W26" s="51" t="str">
        <f t="shared" si="12"/>
        <v>NA</v>
      </c>
      <c r="X26" s="51">
        <f t="shared" si="13"/>
        <v>1.6325013581539469</v>
      </c>
      <c r="Y26" s="51">
        <f t="shared" si="14"/>
        <v>1.6325013581539469</v>
      </c>
      <c r="AA26" s="12">
        <f>'Data Entry'!G28</f>
        <v>5.37</v>
      </c>
      <c r="AB26" s="53">
        <f t="shared" si="20"/>
        <v>28.8369</v>
      </c>
      <c r="AC26" s="54">
        <f t="shared" si="15"/>
        <v>4.8977071540190646E-2</v>
      </c>
      <c r="AD26" s="54">
        <f t="shared" si="16"/>
        <v>2.0005229188160806E-5</v>
      </c>
    </row>
    <row r="27" spans="2:30" s="12" customFormat="1">
      <c r="B27" s="84" t="s">
        <v>11</v>
      </c>
      <c r="C27" s="93">
        <v>55</v>
      </c>
      <c r="D27" s="85">
        <v>5</v>
      </c>
      <c r="E27" s="23">
        <v>0.5</v>
      </c>
      <c r="F27" s="86">
        <f>'Data Entry'!E29</f>
        <v>10051</v>
      </c>
      <c r="G27" s="46">
        <f>'Data Entry'!C29</f>
        <v>136</v>
      </c>
      <c r="H27" s="87">
        <f t="shared" si="17"/>
        <v>149.61601884570084</v>
      </c>
      <c r="I27" s="88">
        <f t="shared" si="18"/>
        <v>1.4885684891622807E-2</v>
      </c>
      <c r="J27" s="88">
        <f t="shared" si="0"/>
        <v>7.442842445811404E-2</v>
      </c>
      <c r="K27" s="89">
        <f t="shared" si="1"/>
        <v>3.7025382776894849E-5</v>
      </c>
      <c r="L27" s="90">
        <f t="shared" si="19"/>
        <v>7.1758006765219068E-2</v>
      </c>
      <c r="M27" s="88">
        <f t="shared" si="2"/>
        <v>0.92824199323478096</v>
      </c>
      <c r="N27" s="49">
        <f t="shared" si="3"/>
        <v>3.1946541658005329E-5</v>
      </c>
      <c r="O27" s="91">
        <f t="shared" si="4"/>
        <v>3.1946541658005302E-5</v>
      </c>
      <c r="P27" s="50">
        <f t="shared" si="5"/>
        <v>1.4885684891622807E-2</v>
      </c>
      <c r="Q27" s="51">
        <f t="shared" si="6"/>
        <v>14.885684891622807</v>
      </c>
      <c r="R27" s="50">
        <f t="shared" si="7"/>
        <v>1.2078780500677422E-3</v>
      </c>
      <c r="S27" s="51">
        <f t="shared" si="8"/>
        <v>12.518243913490032</v>
      </c>
      <c r="T27" s="51">
        <f t="shared" si="9"/>
        <v>17.253125869755582</v>
      </c>
      <c r="U27" s="52">
        <f t="shared" si="10"/>
        <v>149.61601884570084</v>
      </c>
      <c r="V27" s="51" t="str">
        <f t="shared" si="11"/>
        <v>NA</v>
      </c>
      <c r="W27" s="51" t="str">
        <f t="shared" si="12"/>
        <v>NA</v>
      </c>
      <c r="X27" s="51">
        <f t="shared" si="13"/>
        <v>2.367440978132775</v>
      </c>
      <c r="Y27" s="51">
        <f t="shared" si="14"/>
        <v>2.367440978132775</v>
      </c>
      <c r="AA27" s="12">
        <f>'Data Entry'!G29</f>
        <v>4.55</v>
      </c>
      <c r="AB27" s="53">
        <f t="shared" si="20"/>
        <v>20.702499999999997</v>
      </c>
      <c r="AC27" s="54">
        <f t="shared" si="15"/>
        <v>6.7729866256883764E-2</v>
      </c>
      <c r="AD27" s="54">
        <f t="shared" si="16"/>
        <v>3.0204313668853421E-5</v>
      </c>
    </row>
    <row r="28" spans="2:30" s="12" customFormat="1">
      <c r="B28" s="84" t="s">
        <v>12</v>
      </c>
      <c r="C28" s="85">
        <v>60</v>
      </c>
      <c r="D28" s="85">
        <v>5</v>
      </c>
      <c r="E28" s="23">
        <v>0.5</v>
      </c>
      <c r="F28" s="86">
        <f>'Data Entry'!E30</f>
        <v>10220</v>
      </c>
      <c r="G28" s="46">
        <f>'Data Entry'!C30</f>
        <v>176</v>
      </c>
      <c r="H28" s="87">
        <f t="shared" si="17"/>
        <v>193.62073027090696</v>
      </c>
      <c r="I28" s="88">
        <f t="shared" si="18"/>
        <v>1.8945276934531012E-2</v>
      </c>
      <c r="J28" s="88">
        <f t="shared" si="0"/>
        <v>9.4726384672655067E-2</v>
      </c>
      <c r="K28" s="89">
        <f t="shared" si="1"/>
        <v>4.634363242302107E-5</v>
      </c>
      <c r="L28" s="90">
        <f t="shared" si="19"/>
        <v>9.0442728335097616E-2</v>
      </c>
      <c r="M28" s="88">
        <f t="shared" si="2"/>
        <v>0.90955727166490241</v>
      </c>
      <c r="N28" s="49">
        <f t="shared" si="3"/>
        <v>3.8426029024386011E-5</v>
      </c>
      <c r="O28" s="91">
        <f t="shared" si="4"/>
        <v>3.8426029024385998E-5</v>
      </c>
      <c r="P28" s="50">
        <f t="shared" si="5"/>
        <v>1.8945276934531012E-2</v>
      </c>
      <c r="Q28" s="51">
        <f t="shared" si="6"/>
        <v>18.945276934531012</v>
      </c>
      <c r="R28" s="50">
        <f t="shared" si="7"/>
        <v>1.3485642657673357E-3</v>
      </c>
      <c r="S28" s="51">
        <f t="shared" si="8"/>
        <v>16.302090973627035</v>
      </c>
      <c r="T28" s="51">
        <f t="shared" si="9"/>
        <v>21.58846289543499</v>
      </c>
      <c r="U28" s="52">
        <f t="shared" si="10"/>
        <v>193.62073027090696</v>
      </c>
      <c r="V28" s="51" t="str">
        <f t="shared" si="11"/>
        <v>NA</v>
      </c>
      <c r="W28" s="51" t="str">
        <f t="shared" si="12"/>
        <v>NA</v>
      </c>
      <c r="X28" s="51">
        <f t="shared" si="13"/>
        <v>2.6431859609039776</v>
      </c>
      <c r="Y28" s="51">
        <f t="shared" si="14"/>
        <v>2.6431859609039776</v>
      </c>
      <c r="AA28" s="12">
        <f>'Data Entry'!G30</f>
        <v>3.72</v>
      </c>
      <c r="AB28" s="53">
        <f t="shared" si="20"/>
        <v>13.838400000000002</v>
      </c>
      <c r="AC28" s="54">
        <f t="shared" si="15"/>
        <v>7.0476430196455372E-2</v>
      </c>
      <c r="AD28" s="54">
        <f t="shared" si="16"/>
        <v>2.5166868211113323E-5</v>
      </c>
    </row>
    <row r="29" spans="2:30" s="12" customFormat="1">
      <c r="B29" s="84" t="s">
        <v>13</v>
      </c>
      <c r="C29" s="93">
        <v>65</v>
      </c>
      <c r="D29" s="85">
        <v>5</v>
      </c>
      <c r="E29" s="23">
        <v>0.5</v>
      </c>
      <c r="F29" s="86">
        <f>'Data Entry'!E31</f>
        <v>9190</v>
      </c>
      <c r="G29" s="46">
        <f>'Data Entry'!C31</f>
        <v>320</v>
      </c>
      <c r="H29" s="87">
        <f t="shared" si="17"/>
        <v>352.037691401649</v>
      </c>
      <c r="I29" s="88">
        <f t="shared" si="18"/>
        <v>3.8306604069820345E-2</v>
      </c>
      <c r="J29" s="88">
        <f t="shared" si="0"/>
        <v>0.19153302034910172</v>
      </c>
      <c r="K29" s="89">
        <f t="shared" si="1"/>
        <v>1.0420730160451673E-4</v>
      </c>
      <c r="L29" s="90">
        <f t="shared" si="19"/>
        <v>0.17479364314446089</v>
      </c>
      <c r="M29" s="88">
        <f t="shared" si="2"/>
        <v>0.82520635685553911</v>
      </c>
      <c r="N29" s="49">
        <f t="shared" si="3"/>
        <v>7.1618409017695057E-5</v>
      </c>
      <c r="O29" s="91">
        <f t="shared" si="4"/>
        <v>7.1618409017695084E-5</v>
      </c>
      <c r="P29" s="50">
        <f t="shared" si="5"/>
        <v>3.8306604069820345E-2</v>
      </c>
      <c r="Q29" s="51">
        <f t="shared" si="6"/>
        <v>38.306604069820345</v>
      </c>
      <c r="R29" s="50">
        <f t="shared" si="7"/>
        <v>2.0021535781329877E-3</v>
      </c>
      <c r="S29" s="51">
        <f t="shared" si="8"/>
        <v>34.382383056679693</v>
      </c>
      <c r="T29" s="51">
        <f t="shared" si="9"/>
        <v>42.230825082960997</v>
      </c>
      <c r="U29" s="52">
        <f t="shared" si="10"/>
        <v>352.037691401649</v>
      </c>
      <c r="V29" s="51" t="str">
        <f t="shared" si="11"/>
        <v>NA</v>
      </c>
      <c r="W29" s="51" t="str">
        <f t="shared" si="12"/>
        <v>NA</v>
      </c>
      <c r="X29" s="51">
        <f t="shared" si="13"/>
        <v>3.9242210131406523</v>
      </c>
      <c r="Y29" s="51">
        <f t="shared" si="14"/>
        <v>3.9242210131406523</v>
      </c>
      <c r="AA29" s="12">
        <f>'Data Entry'!G31</f>
        <v>2.96</v>
      </c>
      <c r="AB29" s="53">
        <f t="shared" si="20"/>
        <v>8.7615999999999996</v>
      </c>
      <c r="AC29" s="54">
        <f t="shared" si="15"/>
        <v>0.11338754804666822</v>
      </c>
      <c r="AD29" s="54">
        <f t="shared" si="16"/>
        <v>3.512191579609385E-5</v>
      </c>
    </row>
    <row r="30" spans="2:30" s="12" customFormat="1">
      <c r="B30" s="84" t="s">
        <v>14</v>
      </c>
      <c r="C30" s="93">
        <v>70</v>
      </c>
      <c r="D30" s="85">
        <v>5</v>
      </c>
      <c r="E30" s="23">
        <v>0.5</v>
      </c>
      <c r="F30" s="86">
        <f>'Data Entry'!E32</f>
        <v>7427</v>
      </c>
      <c r="G30" s="46">
        <f>'Data Entry'!C32</f>
        <v>445</v>
      </c>
      <c r="H30" s="87">
        <f t="shared" si="17"/>
        <v>489.55241460541811</v>
      </c>
      <c r="I30" s="88">
        <f t="shared" si="18"/>
        <v>6.5915230187884491E-2</v>
      </c>
      <c r="J30" s="88">
        <f t="shared" si="0"/>
        <v>0.32957615093942244</v>
      </c>
      <c r="K30" s="89">
        <f t="shared" si="1"/>
        <v>2.2187703712092533E-4</v>
      </c>
      <c r="L30" s="90">
        <f t="shared" si="19"/>
        <v>0.28294945482380379</v>
      </c>
      <c r="M30" s="88">
        <f t="shared" si="2"/>
        <v>0.71705054517619615</v>
      </c>
      <c r="N30" s="49">
        <f t="shared" si="3"/>
        <v>1.1726496988131268E-4</v>
      </c>
      <c r="O30" s="91">
        <f t="shared" si="4"/>
        <v>1.1726496988131269E-4</v>
      </c>
      <c r="P30" s="50">
        <f t="shared" si="5"/>
        <v>6.5915230187884491E-2</v>
      </c>
      <c r="Q30" s="51">
        <f t="shared" si="6"/>
        <v>65.91523018788449</v>
      </c>
      <c r="R30" s="50">
        <f t="shared" si="7"/>
        <v>2.8792496324264328E-3</v>
      </c>
      <c r="S30" s="51">
        <f t="shared" si="8"/>
        <v>60.271900908328682</v>
      </c>
      <c r="T30" s="51">
        <f t="shared" si="9"/>
        <v>71.558559467440304</v>
      </c>
      <c r="U30" s="52">
        <f t="shared" si="10"/>
        <v>489.55241460541811</v>
      </c>
      <c r="V30" s="51" t="str">
        <f t="shared" si="11"/>
        <v>NA</v>
      </c>
      <c r="W30" s="51" t="str">
        <f t="shared" si="12"/>
        <v>NA</v>
      </c>
      <c r="X30" s="51">
        <f t="shared" si="13"/>
        <v>5.6433292795558074</v>
      </c>
      <c r="Y30" s="51">
        <f t="shared" si="14"/>
        <v>5.6433292795558145</v>
      </c>
      <c r="AA30" s="12">
        <f>'Data Entry'!G32</f>
        <v>2.21</v>
      </c>
      <c r="AB30" s="53">
        <f t="shared" si="20"/>
        <v>4.8841000000000001</v>
      </c>
      <c r="AC30" s="54">
        <f t="shared" si="15"/>
        <v>0.14567265871522472</v>
      </c>
      <c r="AD30" s="54">
        <f t="shared" si="16"/>
        <v>4.0489572137267309E-5</v>
      </c>
    </row>
    <row r="31" spans="2:30" s="12" customFormat="1">
      <c r="B31" s="84" t="s">
        <v>16</v>
      </c>
      <c r="C31" s="85">
        <v>75</v>
      </c>
      <c r="D31" s="85">
        <f>2/I31</f>
        <v>16.216901521954362</v>
      </c>
      <c r="E31" s="23">
        <v>0.5</v>
      </c>
      <c r="F31" s="86">
        <f>'Data Entry'!E33</f>
        <v>9955</v>
      </c>
      <c r="G31" s="46">
        <f>'Data Entry'!C33</f>
        <v>1116</v>
      </c>
      <c r="H31" s="87">
        <f t="shared" si="17"/>
        <v>1227.7314487632509</v>
      </c>
      <c r="I31" s="88">
        <f t="shared" si="18"/>
        <v>0.12332812142272737</v>
      </c>
      <c r="J31" s="88">
        <f t="shared" si="0"/>
        <v>1.9999999999999998</v>
      </c>
      <c r="K31" s="89">
        <f t="shared" si="1"/>
        <v>3.2580414911008264E-3</v>
      </c>
      <c r="L31" s="90">
        <f t="shared" si="19"/>
        <v>0.99999999999999989</v>
      </c>
      <c r="M31" s="88">
        <f t="shared" si="2"/>
        <v>0</v>
      </c>
      <c r="N31" s="49">
        <f t="shared" si="3"/>
        <v>9.0428816965105351E-20</v>
      </c>
      <c r="O31" s="91">
        <f t="shared" si="4"/>
        <v>4.5214408482552681E-20</v>
      </c>
      <c r="P31" s="50">
        <f t="shared" si="5"/>
        <v>0.12332812142272737</v>
      </c>
      <c r="Q31" s="51">
        <f t="shared" si="6"/>
        <v>123.32812142272736</v>
      </c>
      <c r="R31" s="50">
        <f t="shared" si="7"/>
        <v>3.2955580333666763E-3</v>
      </c>
      <c r="S31" s="51">
        <f t="shared" si="8"/>
        <v>116.86882767732867</v>
      </c>
      <c r="T31" s="51">
        <f t="shared" si="9"/>
        <v>129.78741516812605</v>
      </c>
      <c r="U31" s="52">
        <f t="shared" si="10"/>
        <v>1227.7314487632509</v>
      </c>
      <c r="V31" s="51" t="str">
        <f t="shared" si="11"/>
        <v>NA</v>
      </c>
      <c r="W31" s="51" t="str">
        <f t="shared" si="12"/>
        <v>NA</v>
      </c>
      <c r="X31" s="51">
        <f t="shared" si="13"/>
        <v>6.4592937453986963</v>
      </c>
      <c r="Y31" s="51">
        <f t="shared" si="14"/>
        <v>6.4592937453986821</v>
      </c>
      <c r="AA31" s="12">
        <f>'Data Entry'!G33</f>
        <v>3.03</v>
      </c>
      <c r="AB31" s="53">
        <f t="shared" si="20"/>
        <v>9.1808999999999994</v>
      </c>
      <c r="AC31" s="54">
        <f t="shared" si="15"/>
        <v>0.37368420791086387</v>
      </c>
      <c r="AD31" s="54">
        <f t="shared" si="16"/>
        <v>9.9711025889296628E-5</v>
      </c>
    </row>
    <row r="32" spans="2:30" s="12" customFormat="1">
      <c r="B32" s="84"/>
      <c r="C32" s="85"/>
      <c r="D32" s="85"/>
      <c r="E32" s="23"/>
      <c r="F32" s="86"/>
      <c r="G32" s="46"/>
      <c r="H32" s="87"/>
      <c r="I32" s="88"/>
      <c r="J32" s="88"/>
      <c r="K32" s="89"/>
      <c r="L32" s="90"/>
      <c r="M32" s="88"/>
      <c r="N32" s="49"/>
      <c r="O32" s="91"/>
      <c r="P32" s="50"/>
      <c r="Q32" s="51"/>
      <c r="R32" s="50"/>
      <c r="S32" s="51"/>
      <c r="T32" s="51"/>
      <c r="U32" s="52"/>
      <c r="V32" s="51"/>
      <c r="W32" s="51"/>
      <c r="X32" s="51"/>
      <c r="Y32" s="51"/>
      <c r="AB32" s="53"/>
      <c r="AC32" s="54"/>
      <c r="AD32" s="54"/>
    </row>
    <row r="33" spans="2:36" s="12" customFormat="1">
      <c r="B33" s="84" t="s">
        <v>92</v>
      </c>
      <c r="C33" s="85"/>
      <c r="D33" s="85"/>
      <c r="E33" s="23"/>
      <c r="F33" s="86"/>
      <c r="G33" s="46">
        <f>'Data Entry'!C35</f>
        <v>255</v>
      </c>
      <c r="H33" s="87"/>
      <c r="I33" s="88"/>
      <c r="J33" s="88"/>
      <c r="K33" s="89"/>
      <c r="L33" s="90"/>
      <c r="M33" s="88"/>
      <c r="N33" s="91"/>
      <c r="P33" s="50"/>
      <c r="Q33" s="51"/>
      <c r="R33" s="50"/>
      <c r="S33" s="51"/>
      <c r="T33" s="51"/>
      <c r="V33" s="51"/>
      <c r="W33" s="51"/>
      <c r="X33" s="51"/>
      <c r="Y33" s="193" t="s">
        <v>96</v>
      </c>
      <c r="Z33" s="194"/>
      <c r="AA33" s="55">
        <f>SUM(AA16:AA31)</f>
        <v>100</v>
      </c>
      <c r="AB33" s="55"/>
      <c r="AC33" s="56">
        <f>SUM(AC16:AC31)</f>
        <v>0.94310963242102641</v>
      </c>
      <c r="AD33" s="56">
        <f>SUM(AD16:AD31)</f>
        <v>3.0817602137206879E-4</v>
      </c>
    </row>
    <row r="34" spans="2:36" s="12" customFormat="1">
      <c r="B34" s="94" t="s">
        <v>37</v>
      </c>
      <c r="C34" s="95"/>
      <c r="D34" s="96"/>
      <c r="E34" s="97"/>
      <c r="F34" s="98">
        <f>SUM(F16:F31)</f>
        <v>224379</v>
      </c>
      <c r="G34" s="98">
        <f>SUM(G16:G33)</f>
        <v>2802</v>
      </c>
      <c r="H34" s="99">
        <f>SUM(H16:H31)</f>
        <v>2802</v>
      </c>
      <c r="I34" s="100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99">
        <f>SUM(U16:U31)</f>
        <v>2802</v>
      </c>
      <c r="V34" s="55"/>
      <c r="W34" s="55"/>
      <c r="X34" s="55"/>
      <c r="Y34" s="57"/>
      <c r="Z34" s="58"/>
      <c r="AA34" s="55"/>
      <c r="AB34" s="55"/>
      <c r="AC34" s="56"/>
      <c r="AD34" s="56"/>
    </row>
    <row r="35" spans="2:36" s="12" customFormat="1">
      <c r="B35" s="84" t="s">
        <v>42</v>
      </c>
      <c r="G35" s="46">
        <f>+G34-G33</f>
        <v>2547</v>
      </c>
      <c r="I35" s="88"/>
      <c r="Y35" s="193" t="s">
        <v>27</v>
      </c>
      <c r="Z35" s="194"/>
      <c r="AA35" s="55">
        <f>SUM(AA19:AA27)</f>
        <v>61.929999999999993</v>
      </c>
      <c r="AB35" s="55"/>
      <c r="AC35" s="56">
        <f>SUM(AC19:AC27)</f>
        <v>0.22136926401658472</v>
      </c>
      <c r="AD35" s="56">
        <f>SUM(AD19:AD27)</f>
        <v>9.6090060205932982E-5</v>
      </c>
      <c r="AJ35" s="101"/>
    </row>
    <row r="36" spans="2:36" s="12" customFormat="1">
      <c r="B36" s="84"/>
      <c r="G36" s="46"/>
      <c r="AJ36" s="101"/>
    </row>
    <row r="37" spans="2:36" s="12" customFormat="1">
      <c r="B37" s="3" t="s">
        <v>108</v>
      </c>
      <c r="F37" s="7"/>
      <c r="G37" s="46"/>
      <c r="H37" s="3" t="s">
        <v>99</v>
      </c>
      <c r="I37" s="88"/>
      <c r="J37" s="88"/>
      <c r="K37" s="187" t="s">
        <v>101</v>
      </c>
      <c r="L37" s="187"/>
      <c r="M37" s="187" t="s">
        <v>101</v>
      </c>
      <c r="N37" s="187"/>
      <c r="W37" s="3" t="s">
        <v>131</v>
      </c>
      <c r="X37" s="88"/>
      <c r="Y37" s="88"/>
      <c r="AB37" s="187" t="s">
        <v>186</v>
      </c>
      <c r="AC37" s="187"/>
      <c r="AD37" s="187" t="s">
        <v>186</v>
      </c>
      <c r="AE37" s="187"/>
      <c r="AJ37" s="101"/>
    </row>
    <row r="38" spans="2:36" s="12" customFormat="1">
      <c r="C38" s="53"/>
      <c r="D38" s="183" t="s">
        <v>107</v>
      </c>
      <c r="E38" s="183"/>
      <c r="G38" s="86"/>
      <c r="I38" s="88"/>
      <c r="J38" s="88"/>
      <c r="K38" s="187" t="s">
        <v>102</v>
      </c>
      <c r="L38" s="187"/>
      <c r="M38" s="154" t="s">
        <v>90</v>
      </c>
      <c r="N38" s="154"/>
      <c r="X38" s="88"/>
      <c r="Y38" s="88"/>
      <c r="AB38" s="187" t="s">
        <v>102</v>
      </c>
      <c r="AC38" s="187"/>
      <c r="AD38" s="154" t="s">
        <v>187</v>
      </c>
      <c r="AE38" s="154"/>
    </row>
    <row r="39" spans="2:36" s="12" customFormat="1">
      <c r="B39" s="208" t="s">
        <v>68</v>
      </c>
      <c r="C39" s="181" t="s">
        <v>30</v>
      </c>
      <c r="D39" s="154" t="s">
        <v>90</v>
      </c>
      <c r="E39" s="154"/>
      <c r="G39" s="46"/>
      <c r="H39" s="30" t="s">
        <v>118</v>
      </c>
      <c r="I39" s="30" t="s">
        <v>100</v>
      </c>
      <c r="J39" s="30" t="s">
        <v>125</v>
      </c>
      <c r="K39" s="30" t="s">
        <v>86</v>
      </c>
      <c r="L39" s="30" t="s">
        <v>87</v>
      </c>
      <c r="M39" s="30" t="s">
        <v>86</v>
      </c>
      <c r="N39" s="30" t="s">
        <v>87</v>
      </c>
      <c r="W39" s="30" t="s">
        <v>118</v>
      </c>
      <c r="X39" s="30" t="s">
        <v>132</v>
      </c>
      <c r="Y39" s="30" t="s">
        <v>133</v>
      </c>
      <c r="Z39" s="30" t="s">
        <v>134</v>
      </c>
      <c r="AA39" s="30" t="s">
        <v>135</v>
      </c>
      <c r="AB39" s="30" t="s">
        <v>86</v>
      </c>
      <c r="AC39" s="30" t="s">
        <v>87</v>
      </c>
      <c r="AD39" s="102" t="s">
        <v>86</v>
      </c>
      <c r="AE39" s="102" t="s">
        <v>87</v>
      </c>
      <c r="AJ39" s="101"/>
    </row>
    <row r="40" spans="2:36" s="12" customFormat="1">
      <c r="B40" s="209"/>
      <c r="C40" s="159"/>
      <c r="D40" s="31" t="s">
        <v>86</v>
      </c>
      <c r="E40" s="31" t="s">
        <v>87</v>
      </c>
      <c r="F40" s="1"/>
      <c r="G40" s="85"/>
      <c r="H40" s="103" t="s">
        <v>26</v>
      </c>
      <c r="I40" s="104">
        <f>H34/F34</f>
        <v>1.2487799660396027E-2</v>
      </c>
      <c r="J40" s="42">
        <f>SQRT(I40*(1-I40)/F34)</f>
        <v>2.3443534657306757E-4</v>
      </c>
      <c r="K40" s="104">
        <f>+I40-(1.96*J40)</f>
        <v>1.2028306381112814E-2</v>
      </c>
      <c r="L40" s="104">
        <f>+I40+(1.96*J40)</f>
        <v>1.294729293967924E-2</v>
      </c>
      <c r="M40" s="104">
        <f>IF(H34=0,0,CHIINV(0.975,2*H34)/2)/F34</f>
        <v>1.2029654282058887E-2</v>
      </c>
      <c r="N40" s="104">
        <f>(CHIINV(0.025,2*(H34+1))/2)/F34</f>
        <v>1.2958926509865382E-2</v>
      </c>
      <c r="W40" s="41" t="s">
        <v>26</v>
      </c>
      <c r="X40" s="12">
        <f>AC33/AA33</f>
        <v>9.4310963242102645E-3</v>
      </c>
      <c r="Y40" s="12">
        <f>SQRT(AD33/(AA33^2))</f>
        <v>1.7554942932748851E-4</v>
      </c>
      <c r="Z40" s="53">
        <f>+X40*1000</f>
        <v>9.4310963242102641</v>
      </c>
      <c r="AA40" s="12">
        <f>1000*Y40</f>
        <v>0.17554942932748852</v>
      </c>
      <c r="AB40" s="53">
        <f>+Z40-(1.96*AA40)</f>
        <v>9.087019442728387</v>
      </c>
      <c r="AC40" s="53">
        <f>Z40+(1.96*AA40)</f>
        <v>9.7751732056921412</v>
      </c>
      <c r="AD40" s="53">
        <f>(X40+(AA48-Z48)*SQRT((Y40)^2/Z48))*1000</f>
        <v>9.0901775843047545</v>
      </c>
      <c r="AE40" s="53">
        <f>(X40+(AB48-Z48)*SQRT((Y40)^2/Z48))*1000</f>
        <v>9.7816749384477557</v>
      </c>
    </row>
    <row r="41" spans="2:36" s="12" customFormat="1">
      <c r="B41" s="105">
        <f>'Data Entry'!J20</f>
        <v>3</v>
      </c>
      <c r="C41" s="105">
        <f>'Data Entry'!K20</f>
        <v>26500</v>
      </c>
      <c r="D41" s="59">
        <f>IF(B41&gt;100,"NA", IF(B41=0,0,CHIINV(0.975,2*B41)/2))</f>
        <v>0.61867212289560225</v>
      </c>
      <c r="E41" s="59">
        <f>IF(B41&gt;100,"NA",(CHIINV(0.025,2*(B41+1))/2))</f>
        <v>8.7672730697423251</v>
      </c>
      <c r="F41" s="1"/>
      <c r="H41" s="83" t="s">
        <v>15</v>
      </c>
      <c r="I41" s="146">
        <f>SUM(H19:H27)/SUM(F19:F27)</f>
        <v>3.5871048110282045E-3</v>
      </c>
      <c r="J41" s="147">
        <f>SQRT((I41*(1-I41)/SUM(F19:F27)))</f>
        <v>1.5865495770198208E-4</v>
      </c>
      <c r="K41" s="146">
        <f>+I41-(1.96*J41)</f>
        <v>3.2761410939323196E-3</v>
      </c>
      <c r="L41" s="146">
        <f>+I41+(1.96*J41)</f>
        <v>3.8980685281240894E-3</v>
      </c>
      <c r="M41" s="146">
        <f>IF(SUM(H19:H27)=0,0,CHIINV(0.975,2*SUM(H19:H27))/2)/SUM(F19:F27)</f>
        <v>3.2799222169480522E-3</v>
      </c>
      <c r="N41" s="146">
        <f>(CHIINV(0.025,2*(SUM(H19:H27)+1))/2)/SUM(F19:F27)</f>
        <v>3.909980748383164E-3</v>
      </c>
      <c r="W41" s="41" t="s">
        <v>15</v>
      </c>
      <c r="X41" s="12">
        <f>AC35/AA35</f>
        <v>3.5745077348067937E-3</v>
      </c>
      <c r="Y41" s="12">
        <f>SQRT(AD35/(AA35^2))</f>
        <v>1.5828441400614086E-4</v>
      </c>
      <c r="Z41" s="53">
        <f>+X41*1000</f>
        <v>3.5745077348067937</v>
      </c>
      <c r="AA41" s="12">
        <f>1000*Y41</f>
        <v>0.15828441400614085</v>
      </c>
      <c r="AB41" s="53">
        <f>+Z41-(1.96*AA41)</f>
        <v>3.2642702833547577</v>
      </c>
      <c r="AC41" s="53">
        <f>Z41+(1.96*AA41)</f>
        <v>3.8847451862588298</v>
      </c>
      <c r="AD41" s="53">
        <f>(X41+(AA54-Z54)*SQRT((Y41)^2/Z54))*1000</f>
        <v>3.2685927305705795</v>
      </c>
      <c r="AE41" s="53">
        <f>(X41+(AB54-Z54)*SQRT((Y41)^2/Z54))*1000</f>
        <v>3.8960513236923724</v>
      </c>
      <c r="AG41" s="53"/>
      <c r="AH41" s="53"/>
    </row>
    <row r="42" spans="2:36" s="12" customFormat="1">
      <c r="H42" s="85"/>
      <c r="I42" s="106"/>
    </row>
    <row r="43" spans="2:36" s="12" customFormat="1" ht="14.1" customHeight="1">
      <c r="B43" s="207" t="s">
        <v>29</v>
      </c>
      <c r="C43" s="207"/>
      <c r="D43" s="183" t="s">
        <v>105</v>
      </c>
      <c r="E43" s="183"/>
      <c r="X43"/>
      <c r="Y43"/>
      <c r="Z43"/>
    </row>
    <row r="44" spans="2:36" s="12" customFormat="1">
      <c r="B44" s="154" t="s">
        <v>106</v>
      </c>
      <c r="C44" s="154"/>
      <c r="D44" s="204" t="s">
        <v>90</v>
      </c>
      <c r="E44" s="204"/>
      <c r="H44" s="3" t="s">
        <v>109</v>
      </c>
      <c r="J44" s="89"/>
      <c r="K44" s="154" t="s">
        <v>119</v>
      </c>
      <c r="L44" s="154"/>
      <c r="M44" s="154" t="s">
        <v>119</v>
      </c>
      <c r="N44" s="154"/>
      <c r="O44" s="191" t="s">
        <v>110</v>
      </c>
      <c r="P44" s="191"/>
      <c r="Q44" s="154" t="s">
        <v>120</v>
      </c>
      <c r="R44" s="154"/>
      <c r="S44" s="154" t="s">
        <v>120</v>
      </c>
      <c r="T44" s="154"/>
      <c r="W44" s="6" t="s">
        <v>128</v>
      </c>
    </row>
    <row r="45" spans="2:36" s="12" customFormat="1">
      <c r="B45" s="198" t="s">
        <v>150</v>
      </c>
      <c r="C45" s="198"/>
      <c r="D45" s="31" t="s">
        <v>86</v>
      </c>
      <c r="E45" s="31" t="s">
        <v>87</v>
      </c>
      <c r="H45" s="3" t="s">
        <v>122</v>
      </c>
      <c r="J45" s="106"/>
      <c r="K45" s="154" t="s">
        <v>85</v>
      </c>
      <c r="L45" s="154"/>
      <c r="M45" s="154" t="s">
        <v>35</v>
      </c>
      <c r="N45" s="154"/>
      <c r="O45" s="154" t="s">
        <v>41</v>
      </c>
      <c r="P45" s="154"/>
      <c r="Q45" s="154" t="s">
        <v>85</v>
      </c>
      <c r="R45" s="154"/>
      <c r="S45" s="154" t="s">
        <v>90</v>
      </c>
      <c r="T45" s="154"/>
      <c r="W45" s="189" t="s">
        <v>118</v>
      </c>
      <c r="X45" s="188" t="s">
        <v>94</v>
      </c>
      <c r="Y45" s="190" t="s">
        <v>129</v>
      </c>
      <c r="Z45" s="190"/>
      <c r="AA45" s="190" t="s">
        <v>180</v>
      </c>
      <c r="AB45" s="190"/>
    </row>
    <row r="46" spans="2:36" s="12" customFormat="1">
      <c r="B46" s="199">
        <f>100000*B41/C41</f>
        <v>11.320754716981131</v>
      </c>
      <c r="C46" s="199"/>
      <c r="D46" s="60">
        <f>100000*D41/C41</f>
        <v>2.3346117845117065</v>
      </c>
      <c r="E46" s="60">
        <f>100000*E41/C41</f>
        <v>33.084049319782359</v>
      </c>
      <c r="H46" s="30" t="s">
        <v>71</v>
      </c>
      <c r="I46" s="30" t="s">
        <v>157</v>
      </c>
      <c r="J46" s="30" t="s">
        <v>111</v>
      </c>
      <c r="K46" s="142" t="s">
        <v>86</v>
      </c>
      <c r="L46" s="142" t="s">
        <v>87</v>
      </c>
      <c r="M46" s="102" t="s">
        <v>86</v>
      </c>
      <c r="N46" s="102" t="s">
        <v>87</v>
      </c>
      <c r="O46" s="30" t="s">
        <v>71</v>
      </c>
      <c r="P46" s="141" t="s">
        <v>110</v>
      </c>
      <c r="Q46" s="102" t="s">
        <v>86</v>
      </c>
      <c r="R46" s="102" t="s">
        <v>87</v>
      </c>
      <c r="S46" s="102" t="s">
        <v>86</v>
      </c>
      <c r="T46" s="102" t="s">
        <v>87</v>
      </c>
      <c r="W46" s="189"/>
      <c r="X46" s="188"/>
      <c r="Y46" s="190"/>
      <c r="Z46" s="190"/>
      <c r="AA46" s="190"/>
      <c r="AB46" s="190"/>
    </row>
    <row r="47" spans="2:36" s="12" customFormat="1" ht="15.6">
      <c r="B47" s="61"/>
      <c r="C47" s="62"/>
      <c r="D47" s="62"/>
      <c r="E47" s="61"/>
      <c r="F47" s="61"/>
      <c r="H47" s="41" t="s">
        <v>15</v>
      </c>
      <c r="I47" s="63">
        <f>SUM(J19:J27)</f>
        <v>0.19505594041730376</v>
      </c>
      <c r="J47" s="63">
        <f>SQRT(SUM(K19:K27))</f>
        <v>8.8549743280771955E-3</v>
      </c>
      <c r="K47" s="63">
        <f>I47-(1.96*J47)</f>
        <v>0.17770019073427246</v>
      </c>
      <c r="L47" s="63">
        <f>I47+(1.96*J47)</f>
        <v>0.21241169010033506</v>
      </c>
      <c r="M47" s="63">
        <f>IF(I47=0,0,I47+(AA54-Z54)*SQRT((J47)^2/Z54))</f>
        <v>0.17794200329282978</v>
      </c>
      <c r="N47" s="63">
        <f>+I47+(AB54-Z54)*SQRT((J47)^2/Z54)</f>
        <v>0.21304419430077925</v>
      </c>
      <c r="O47" s="41" t="s">
        <v>15</v>
      </c>
      <c r="P47" s="63">
        <f>1-EXP(-I47)</f>
        <v>0.17721137037068857</v>
      </c>
      <c r="Q47" s="63">
        <f t="shared" ref="Q47:T49" si="21">1-EXP(-K47)</f>
        <v>0.16280661579949596</v>
      </c>
      <c r="R47" s="63">
        <f t="shared" si="21"/>
        <v>0.19136827664521261</v>
      </c>
      <c r="S47" s="63">
        <f t="shared" si="21"/>
        <v>0.16300903519897403</v>
      </c>
      <c r="T47" s="63">
        <f t="shared" si="21"/>
        <v>0.19187957788970844</v>
      </c>
      <c r="W47" s="33" t="s">
        <v>75</v>
      </c>
      <c r="X47" s="79" t="s">
        <v>181</v>
      </c>
      <c r="Y47" s="33" t="s">
        <v>71</v>
      </c>
      <c r="Z47" s="33" t="s">
        <v>33</v>
      </c>
      <c r="AA47" s="107" t="s">
        <v>86</v>
      </c>
      <c r="AB47" s="107" t="s">
        <v>87</v>
      </c>
    </row>
    <row r="48" spans="2:36" s="12" customFormat="1">
      <c r="C48" s="41"/>
      <c r="D48" s="41"/>
      <c r="E48" s="41"/>
      <c r="F48" s="108"/>
      <c r="H48" s="41" t="s">
        <v>40</v>
      </c>
      <c r="I48" s="63">
        <f>SUM(J22:J29)</f>
        <v>0.46530487345135008</v>
      </c>
      <c r="J48" s="63">
        <f>SQRT(SUM(K22:K29))</f>
        <v>1.4979803306714851E-2</v>
      </c>
      <c r="K48" s="63">
        <f>I48-(1.96*J48)</f>
        <v>0.43594445897018896</v>
      </c>
      <c r="L48" s="63">
        <f>I48+(1.96*J48)</f>
        <v>0.49466528793251119</v>
      </c>
      <c r="M48" s="63">
        <f>IF(I48=0,0,I48+(AA57-Z57)*SQRT((J48)^2/Z57))</f>
        <v>0.43625571740358876</v>
      </c>
      <c r="N48" s="63">
        <f>+I48+(AB57-Z57)*SQRT((J48)^2/Z57)</f>
        <v>0.49545021072546153</v>
      </c>
      <c r="O48" s="41" t="s">
        <v>40</v>
      </c>
      <c r="P48" s="63">
        <f>1-EXP(-I48)</f>
        <v>0.37205636733886416</v>
      </c>
      <c r="Q48" s="63">
        <f t="shared" si="21"/>
        <v>0.35334635925280422</v>
      </c>
      <c r="R48" s="63">
        <f t="shared" si="21"/>
        <v>0.39022502781544333</v>
      </c>
      <c r="S48" s="63">
        <f t="shared" si="21"/>
        <v>0.35354760433073695</v>
      </c>
      <c r="T48" s="63">
        <f t="shared" si="21"/>
        <v>0.39070346629648334</v>
      </c>
      <c r="W48" s="109" t="s">
        <v>17</v>
      </c>
      <c r="X48" s="64">
        <f t="shared" ref="X48:X63" si="22">U16</f>
        <v>23.102473498233216</v>
      </c>
      <c r="Y48" s="36" t="s">
        <v>26</v>
      </c>
      <c r="Z48" s="65">
        <f>SUM(X48:X63)</f>
        <v>2802</v>
      </c>
      <c r="AA48" s="66">
        <f t="shared" ref="AA48:AA57" si="23">IF(Z48=0,0,CHIINV(0.975,2*Z48)/2)</f>
        <v>2699.2017981540912</v>
      </c>
      <c r="AB48" s="66">
        <f t="shared" ref="AB48:AB57" si="24">(CHIINV(0.025,2*(Z48+1))/2)</f>
        <v>2907.7109713570844</v>
      </c>
    </row>
    <row r="49" spans="2:29" s="12" customFormat="1">
      <c r="B49" s="3" t="s">
        <v>32</v>
      </c>
      <c r="C49" s="67"/>
      <c r="D49" s="68"/>
      <c r="E49" s="68"/>
      <c r="F49" s="67"/>
      <c r="H49" s="145" t="s">
        <v>39</v>
      </c>
      <c r="I49" s="148">
        <f>(J17+J18)</f>
        <v>2.0497556666345435E-3</v>
      </c>
      <c r="J49" s="148">
        <f>SQRT(SUM(K17:K18))</f>
        <v>7.9810426571835617E-4</v>
      </c>
      <c r="K49" s="148">
        <f>I49-(1.96*J49)</f>
        <v>4.8547130582656537E-4</v>
      </c>
      <c r="L49" s="148">
        <f>I49+(1.96*J49)</f>
        <v>3.6140400274425216E-3</v>
      </c>
      <c r="M49" s="148">
        <f>IF(I49=0,0,(I49+(AA51-Z51)*SQRT((J49)^2/Z51)))</f>
        <v>7.7725064596533954E-4</v>
      </c>
      <c r="N49" s="148">
        <f>+I49+(AB51-Z51)*SQRT((J49)^2/Z51)</f>
        <v>4.2688452653781243E-3</v>
      </c>
      <c r="O49" s="145" t="s">
        <v>39</v>
      </c>
      <c r="P49" s="148">
        <f>1-EXP(-I49)</f>
        <v>2.0476563520936963E-3</v>
      </c>
      <c r="Q49" s="148">
        <f t="shared" si="21"/>
        <v>4.8535348369938003E-4</v>
      </c>
      <c r="R49" s="148">
        <f t="shared" si="21"/>
        <v>3.6075172450140691E-3</v>
      </c>
      <c r="S49" s="148">
        <f t="shared" si="21"/>
        <v>7.7694866492539205E-4</v>
      </c>
      <c r="T49" s="148">
        <f t="shared" si="21"/>
        <v>4.2597466968263831E-3</v>
      </c>
      <c r="W49" s="110" t="s">
        <v>1</v>
      </c>
      <c r="X49" s="64">
        <f t="shared" si="22"/>
        <v>2.2002355712603063</v>
      </c>
      <c r="Y49" s="36" t="s">
        <v>112</v>
      </c>
      <c r="Z49" s="65">
        <f>SUM(X48)</f>
        <v>23.102473498233216</v>
      </c>
      <c r="AA49" s="66">
        <f>IF((Z49)=0,0,CHIINV(0.975,2*(Z49))/2)</f>
        <v>14.580027037044678</v>
      </c>
      <c r="AB49" s="66">
        <f t="shared" si="24"/>
        <v>34.511292894833041</v>
      </c>
    </row>
    <row r="50" spans="2:29" s="12" customFormat="1">
      <c r="C50" s="67"/>
      <c r="D50" s="68"/>
      <c r="E50" s="200" t="s">
        <v>104</v>
      </c>
      <c r="F50" s="200"/>
      <c r="J50" s="69"/>
      <c r="K50" s="69"/>
      <c r="L50" s="69"/>
      <c r="M50" s="69"/>
      <c r="N50" s="69"/>
      <c r="O50" s="69"/>
      <c r="W50" s="110" t="s">
        <v>2</v>
      </c>
      <c r="X50" s="64">
        <f t="shared" si="22"/>
        <v>4.4004711425206127</v>
      </c>
      <c r="Y50" s="36" t="s">
        <v>113</v>
      </c>
      <c r="Z50" s="65">
        <f>SUM(X48:X55)</f>
        <v>162.81743227326268</v>
      </c>
      <c r="AA50" s="66">
        <f t="shared" si="23"/>
        <v>138.47546956068027</v>
      </c>
      <c r="AB50" s="66">
        <f t="shared" si="24"/>
        <v>189.4947982642216</v>
      </c>
    </row>
    <row r="51" spans="2:29" s="12" customFormat="1">
      <c r="B51" s="158" t="s">
        <v>67</v>
      </c>
      <c r="C51" s="156" t="s">
        <v>66</v>
      </c>
      <c r="D51" s="195" t="s">
        <v>155</v>
      </c>
      <c r="E51" s="201" t="s">
        <v>159</v>
      </c>
      <c r="F51" s="201"/>
      <c r="W51" s="109" t="s">
        <v>3</v>
      </c>
      <c r="X51" s="64">
        <f t="shared" si="22"/>
        <v>9.9010600706713774</v>
      </c>
      <c r="Y51" s="70" t="s">
        <v>39</v>
      </c>
      <c r="Z51" s="65">
        <f>SUM(X49:X50)</f>
        <v>6.6007067137809194</v>
      </c>
      <c r="AA51" s="66">
        <f t="shared" si="23"/>
        <v>2.504375255905166</v>
      </c>
      <c r="AB51" s="66">
        <f t="shared" si="24"/>
        <v>13.744196431721491</v>
      </c>
    </row>
    <row r="52" spans="2:29" s="12" customFormat="1" ht="15.6">
      <c r="B52" s="159"/>
      <c r="C52" s="157"/>
      <c r="D52" s="196"/>
      <c r="E52" s="30" t="s">
        <v>86</v>
      </c>
      <c r="F52" s="30" t="s">
        <v>87</v>
      </c>
      <c r="H52" s="32" t="s">
        <v>109</v>
      </c>
      <c r="K52" s="197" t="s">
        <v>161</v>
      </c>
      <c r="L52" s="197"/>
      <c r="M52" s="197" t="s">
        <v>161</v>
      </c>
      <c r="N52" s="197"/>
      <c r="W52" s="109" t="s">
        <v>4</v>
      </c>
      <c r="X52" s="64">
        <f t="shared" si="22"/>
        <v>23.102473498233216</v>
      </c>
      <c r="Y52" s="36" t="s">
        <v>114</v>
      </c>
      <c r="Z52" s="65">
        <f>SUM(X51:X54)</f>
        <v>95.710247349823334</v>
      </c>
      <c r="AA52" s="66">
        <f t="shared" si="23"/>
        <v>77.310424850812296</v>
      </c>
      <c r="AB52" s="66">
        <f t="shared" si="24"/>
        <v>116.68256711663007</v>
      </c>
      <c r="AC52" s="106"/>
    </row>
    <row r="53" spans="2:29" s="12" customFormat="1" ht="15.6">
      <c r="B53" s="59">
        <f>'Data Entry'!J29</f>
        <v>54</v>
      </c>
      <c r="C53" s="59">
        <f>'Data Entry'!K29</f>
        <v>165</v>
      </c>
      <c r="D53" s="60">
        <f>100*B53/C53</f>
        <v>32.727272727272727</v>
      </c>
      <c r="E53" s="60">
        <f>100*CRITBINOM(C53,D53/100,0.05)/C53</f>
        <v>26.666666666666668</v>
      </c>
      <c r="F53" s="111">
        <f>100*CRITBINOM(C53,D53/100,0.95)/C53</f>
        <v>38.787878787878789</v>
      </c>
      <c r="H53" s="140" t="s">
        <v>182</v>
      </c>
      <c r="J53" s="106"/>
      <c r="K53" s="154" t="s">
        <v>85</v>
      </c>
      <c r="L53" s="154"/>
      <c r="M53" s="154" t="s">
        <v>35</v>
      </c>
      <c r="N53" s="154"/>
      <c r="W53" s="109" t="s">
        <v>5</v>
      </c>
      <c r="X53" s="64">
        <f t="shared" si="22"/>
        <v>24.20259128386337</v>
      </c>
      <c r="Y53" s="36" t="s">
        <v>115</v>
      </c>
      <c r="Z53" s="65">
        <f>SUM(X55:X59)</f>
        <v>413.64428739693756</v>
      </c>
      <c r="AA53" s="66">
        <f t="shared" si="23"/>
        <v>374.60016210357003</v>
      </c>
      <c r="AB53" s="66">
        <f t="shared" si="24"/>
        <v>455.3419881967132</v>
      </c>
    </row>
    <row r="54" spans="2:29" s="12" customFormat="1" ht="15.6">
      <c r="H54" s="30" t="s">
        <v>71</v>
      </c>
      <c r="I54" s="78" t="s">
        <v>174</v>
      </c>
      <c r="J54" s="76" t="s">
        <v>175</v>
      </c>
      <c r="K54" s="102" t="s">
        <v>86</v>
      </c>
      <c r="L54" s="102" t="s">
        <v>87</v>
      </c>
      <c r="M54" s="102" t="s">
        <v>86</v>
      </c>
      <c r="N54" s="102" t="s">
        <v>87</v>
      </c>
      <c r="W54" s="109" t="s">
        <v>6</v>
      </c>
      <c r="X54" s="64">
        <f t="shared" si="22"/>
        <v>38.504122497055363</v>
      </c>
      <c r="Y54" s="36" t="s">
        <v>15</v>
      </c>
      <c r="Z54" s="65">
        <f>SUM(X51:X59)</f>
        <v>509.35453474676092</v>
      </c>
      <c r="AA54" s="66">
        <f t="shared" si="23"/>
        <v>465.73583511775564</v>
      </c>
      <c r="AB54" s="66">
        <f t="shared" si="24"/>
        <v>555.20162634741575</v>
      </c>
    </row>
    <row r="55" spans="2:29" s="12" customFormat="1">
      <c r="H55" s="41" t="s">
        <v>15</v>
      </c>
      <c r="I55" s="63">
        <f>(1-(M19*M20*M21*M22*M23*M24*M25*M26*M27))</f>
        <v>0.17724752251258125</v>
      </c>
      <c r="J55" s="63">
        <f>SQRT(SUM(O19:O27))</f>
        <v>8.4315572488429195E-3</v>
      </c>
      <c r="K55" s="63">
        <f>I55-(1.96*(J55))</f>
        <v>0.16072167030484913</v>
      </c>
      <c r="L55" s="63">
        <f>I55+(1.96*(J55))</f>
        <v>0.19377337472031336</v>
      </c>
      <c r="M55" s="63">
        <f>IF(I55=0,0,I55+(AA54-Z54)*SQRT((J55)^2/Z54))</f>
        <v>0.16095192014583404</v>
      </c>
      <c r="N55" s="63">
        <f>+I55+(AB54-Z54)*SQRT((J55)^2/Z54)</f>
        <v>0.19437563455513515</v>
      </c>
      <c r="W55" s="109" t="s">
        <v>7</v>
      </c>
      <c r="X55" s="64">
        <f t="shared" si="22"/>
        <v>37.404004711425209</v>
      </c>
      <c r="Y55" s="36" t="s">
        <v>116</v>
      </c>
      <c r="Z55" s="65">
        <f>SUM(X51:X60)</f>
        <v>702.97526501766788</v>
      </c>
      <c r="AA55" s="66">
        <f t="shared" si="23"/>
        <v>651.505252192287</v>
      </c>
      <c r="AB55" s="66">
        <f t="shared" si="24"/>
        <v>756.42582518162999</v>
      </c>
    </row>
    <row r="56" spans="2:29" s="12" customFormat="1">
      <c r="H56" s="41" t="s">
        <v>40</v>
      </c>
      <c r="I56" s="63">
        <f>(1-(M22*M23*M24*M25*M26*M27*M28*M29))</f>
        <v>0.37249802679025346</v>
      </c>
      <c r="J56" s="63">
        <f>SQRT(SUM(O22:O29))</f>
        <v>1.328996852826206E-2</v>
      </c>
      <c r="K56" s="63">
        <f>I56-(1.96*(J56))</f>
        <v>0.3464496884748598</v>
      </c>
      <c r="L56" s="63">
        <f>I56+(1.96*(J56))</f>
        <v>0.39854636510564712</v>
      </c>
      <c r="M56" s="63">
        <f>IF(I56=0,0,I56+(AA57-Z57)*SQRT((J56)^2/Z57))</f>
        <v>0.34672583460971496</v>
      </c>
      <c r="N56" s="63">
        <f>+I56+(AB57-Z57)*SQRT((J56)^2/Z57)</f>
        <v>0.39924274268830529</v>
      </c>
      <c r="W56" s="109" t="s">
        <v>8</v>
      </c>
      <c r="X56" s="64">
        <f t="shared" si="22"/>
        <v>42.904593639575971</v>
      </c>
      <c r="Y56" s="36" t="s">
        <v>117</v>
      </c>
      <c r="Z56" s="65">
        <f>SUM(X51:X61)</f>
        <v>1055.0129564193169</v>
      </c>
      <c r="AA56" s="66">
        <f t="shared" si="23"/>
        <v>992.29125490675744</v>
      </c>
      <c r="AB56" s="66">
        <f t="shared" si="24"/>
        <v>1120.633088402227</v>
      </c>
    </row>
    <row r="57" spans="2:29" s="12" customFormat="1">
      <c r="H57" s="145" t="s">
        <v>39</v>
      </c>
      <c r="I57" s="148">
        <f>(1-(M17*M18))</f>
        <v>2.0476565822070691E-3</v>
      </c>
      <c r="J57" s="148">
        <f>SQRT(SUM(O17:O18))</f>
        <v>7.972156667458715E-4</v>
      </c>
      <c r="K57" s="148">
        <f>I57-(1.96*(J57))</f>
        <v>4.8511387538516097E-4</v>
      </c>
      <c r="L57" s="148">
        <f>I57+(1.96*(J57))</f>
        <v>3.6101992890289775E-3</v>
      </c>
      <c r="M57" s="149">
        <f>IF(I57=0,0,I57+(AA51-Z51)*SQRT((J57)^2/Z51))</f>
        <v>7.7656835217840932E-4</v>
      </c>
      <c r="N57" s="149">
        <f>+I57+(AB51-Z51)*SQRT((J57)^2/Z51)</f>
        <v>4.2642754752772252E-3</v>
      </c>
      <c r="W57" s="109" t="s">
        <v>9</v>
      </c>
      <c r="X57" s="64">
        <f t="shared" si="22"/>
        <v>64.906949352179041</v>
      </c>
      <c r="Y57" s="36" t="s">
        <v>40</v>
      </c>
      <c r="Z57" s="65">
        <f>SUM(X54:X61)</f>
        <v>997.80683156654891</v>
      </c>
      <c r="AA57" s="66">
        <f t="shared" si="23"/>
        <v>936.55054790410486</v>
      </c>
      <c r="AB57" s="66">
        <f t="shared" si="24"/>
        <v>1061.3746449696969</v>
      </c>
    </row>
    <row r="58" spans="2:29" s="12" customFormat="1">
      <c r="D58" s="67"/>
      <c r="E58" s="68"/>
      <c r="F58" s="42"/>
      <c r="G58" s="67"/>
      <c r="H58" s="67"/>
      <c r="W58" s="109" t="s">
        <v>10</v>
      </c>
      <c r="X58" s="64">
        <f t="shared" si="22"/>
        <v>118.81272084805654</v>
      </c>
      <c r="Y58" s="7"/>
      <c r="Z58" s="7"/>
      <c r="AA58" s="7"/>
      <c r="AB58" s="7"/>
    </row>
    <row r="59" spans="2:29" s="12" customFormat="1">
      <c r="W59" s="109" t="s">
        <v>11</v>
      </c>
      <c r="X59" s="64">
        <f t="shared" si="22"/>
        <v>149.61601884570084</v>
      </c>
      <c r="Y59" s="7"/>
      <c r="Z59" s="7"/>
      <c r="AA59" s="7"/>
      <c r="AB59" s="7"/>
    </row>
    <row r="60" spans="2:29" s="12" customFormat="1">
      <c r="H60" s="40" t="s">
        <v>123</v>
      </c>
      <c r="K60" s="197" t="s">
        <v>121</v>
      </c>
      <c r="L60" s="197"/>
      <c r="M60" s="197" t="s">
        <v>121</v>
      </c>
      <c r="N60" s="197"/>
      <c r="W60" s="109" t="s">
        <v>12</v>
      </c>
      <c r="X60" s="64">
        <f t="shared" si="22"/>
        <v>193.62073027090696</v>
      </c>
      <c r="Y60" s="7"/>
      <c r="Z60"/>
      <c r="AA60" s="7"/>
      <c r="AB60" s="7"/>
    </row>
    <row r="61" spans="2:29" s="12" customFormat="1">
      <c r="H61" s="40" t="s">
        <v>84</v>
      </c>
      <c r="K61" s="154" t="s">
        <v>85</v>
      </c>
      <c r="L61" s="154"/>
      <c r="M61" s="154" t="s">
        <v>90</v>
      </c>
      <c r="N61" s="154"/>
      <c r="W61" s="109" t="s">
        <v>13</v>
      </c>
      <c r="X61" s="64">
        <f t="shared" si="22"/>
        <v>352.037691401649</v>
      </c>
      <c r="Y61" s="7"/>
      <c r="Z61"/>
      <c r="AA61" s="7"/>
      <c r="AB61" s="7"/>
    </row>
    <row r="62" spans="2:29" s="12" customFormat="1">
      <c r="H62" s="30" t="s">
        <v>118</v>
      </c>
      <c r="I62" s="30" t="s">
        <v>124</v>
      </c>
      <c r="J62" s="30" t="s">
        <v>126</v>
      </c>
      <c r="K62" s="30" t="s">
        <v>86</v>
      </c>
      <c r="L62" s="30" t="s">
        <v>87</v>
      </c>
      <c r="M62" s="30" t="s">
        <v>86</v>
      </c>
      <c r="N62" s="30" t="s">
        <v>87</v>
      </c>
      <c r="W62" s="109" t="s">
        <v>14</v>
      </c>
      <c r="X62" s="64">
        <f t="shared" si="22"/>
        <v>489.55241460541811</v>
      </c>
      <c r="Y62" s="7"/>
      <c r="Z62"/>
      <c r="AA62" s="7"/>
      <c r="AB62" s="7"/>
    </row>
    <row r="63" spans="2:29" s="12" customFormat="1">
      <c r="H63" s="37" t="s">
        <v>127</v>
      </c>
      <c r="I63" s="71">
        <f>(H16)/F16</f>
        <v>1.6908785404547476E-3</v>
      </c>
      <c r="J63" s="71">
        <f>SQRT((I63*(1-(I63))/F16))</f>
        <v>3.5149219972192456E-4</v>
      </c>
      <c r="K63" s="71">
        <f>I63-(1.96*J63)</f>
        <v>1.0019538289997754E-3</v>
      </c>
      <c r="L63" s="71">
        <f>I63+(1.96*J63)</f>
        <v>2.3798032519097199E-3</v>
      </c>
      <c r="M63" s="71">
        <f>IF(AA49="NA","NA",IF(AA49=0,0,(AA49/F16)))</f>
        <v>1.0671175464425585E-3</v>
      </c>
      <c r="N63" s="71">
        <f>IF(AB49="NA","NA",(AB49/F16))</f>
        <v>2.5258942322208184E-3</v>
      </c>
      <c r="W63" s="109" t="s">
        <v>130</v>
      </c>
      <c r="X63" s="64">
        <f t="shared" si="22"/>
        <v>1227.7314487632509</v>
      </c>
      <c r="Y63" s="7"/>
      <c r="Z63"/>
      <c r="AA63" s="7"/>
      <c r="AB63" s="7"/>
    </row>
    <row r="64" spans="2:29" s="12" customFormat="1">
      <c r="W64" s="109"/>
      <c r="X64" s="72"/>
      <c r="Y64" s="7"/>
      <c r="Z64"/>
      <c r="AA64" s="7"/>
      <c r="AB64" s="7"/>
    </row>
    <row r="65" spans="23:29" s="12" customFormat="1">
      <c r="W65" s="7"/>
      <c r="X65" s="7"/>
      <c r="Y65" s="7"/>
      <c r="Z65" s="7"/>
      <c r="AA65" s="7"/>
      <c r="AB65" s="86"/>
    </row>
    <row r="66" spans="23:29">
      <c r="AC66" s="17"/>
    </row>
    <row r="67" spans="23:29">
      <c r="AC67" s="17"/>
    </row>
    <row r="68" spans="23:29">
      <c r="AC68" s="17"/>
    </row>
    <row r="69" spans="23:29">
      <c r="AC69" s="17"/>
    </row>
    <row r="70" spans="23:29">
      <c r="AC70" s="17"/>
    </row>
    <row r="71" spans="23:29">
      <c r="AC71" s="17"/>
    </row>
  </sheetData>
  <sheetProtection password="EC91" sheet="1" objects="1" scenarios="1"/>
  <mergeCells count="78">
    <mergeCell ref="G4:L4"/>
    <mergeCell ref="G5:L5"/>
    <mergeCell ref="G6:L6"/>
    <mergeCell ref="AD13:AD14"/>
    <mergeCell ref="AB13:AB14"/>
    <mergeCell ref="AA13:AA14"/>
    <mergeCell ref="S12:T12"/>
    <mergeCell ref="R13:R14"/>
    <mergeCell ref="S13:T13"/>
    <mergeCell ref="S14:T14"/>
    <mergeCell ref="V12:W12"/>
    <mergeCell ref="U13:U15"/>
    <mergeCell ref="V13:W13"/>
    <mergeCell ref="J13:J14"/>
    <mergeCell ref="K13:K14"/>
    <mergeCell ref="L13:L14"/>
    <mergeCell ref="M52:N52"/>
    <mergeCell ref="M53:N53"/>
    <mergeCell ref="B13:B14"/>
    <mergeCell ref="D13:D14"/>
    <mergeCell ref="E13:E14"/>
    <mergeCell ref="F13:F14"/>
    <mergeCell ref="I13:I14"/>
    <mergeCell ref="C13:C14"/>
    <mergeCell ref="G13:G14"/>
    <mergeCell ref="H13:H14"/>
    <mergeCell ref="B43:C43"/>
    <mergeCell ref="D38:E38"/>
    <mergeCell ref="D39:E39"/>
    <mergeCell ref="B39:B40"/>
    <mergeCell ref="C39:C40"/>
    <mergeCell ref="B51:B52"/>
    <mergeCell ref="K61:L61"/>
    <mergeCell ref="M61:N61"/>
    <mergeCell ref="K60:L60"/>
    <mergeCell ref="M60:N60"/>
    <mergeCell ref="K53:L53"/>
    <mergeCell ref="M45:N45"/>
    <mergeCell ref="M13:M14"/>
    <mergeCell ref="P13:P14"/>
    <mergeCell ref="Q13:Q14"/>
    <mergeCell ref="D43:E43"/>
    <mergeCell ref="D44:E44"/>
    <mergeCell ref="M38:N38"/>
    <mergeCell ref="K37:L37"/>
    <mergeCell ref="M37:N37"/>
    <mergeCell ref="K38:L38"/>
    <mergeCell ref="M44:N44"/>
    <mergeCell ref="C51:C52"/>
    <mergeCell ref="D51:D52"/>
    <mergeCell ref="K45:L45"/>
    <mergeCell ref="K44:L44"/>
    <mergeCell ref="K52:L52"/>
    <mergeCell ref="B44:C44"/>
    <mergeCell ref="B45:C45"/>
    <mergeCell ref="B46:C46"/>
    <mergeCell ref="E50:F50"/>
    <mergeCell ref="E51:F51"/>
    <mergeCell ref="AC13:AC14"/>
    <mergeCell ref="AB38:AC38"/>
    <mergeCell ref="AB37:AC37"/>
    <mergeCell ref="O44:P44"/>
    <mergeCell ref="O45:P45"/>
    <mergeCell ref="Q44:R44"/>
    <mergeCell ref="Q45:R45"/>
    <mergeCell ref="S44:T44"/>
    <mergeCell ref="S45:T45"/>
    <mergeCell ref="X13:Y13"/>
    <mergeCell ref="V14:W14"/>
    <mergeCell ref="X14:Y14"/>
    <mergeCell ref="Y33:Z33"/>
    <mergeCell ref="Y35:Z35"/>
    <mergeCell ref="AD37:AE37"/>
    <mergeCell ref="AD38:AE38"/>
    <mergeCell ref="X45:X46"/>
    <mergeCell ref="W45:W46"/>
    <mergeCell ref="Y45:Z46"/>
    <mergeCell ref="AA45:AB46"/>
  </mergeCells>
  <pageMargins left="0.7" right="0.7" top="0.75" bottom="0.75" header="0.3" footer="0.3"/>
  <pageSetup orientation="portrait"/>
  <ignoredErrors>
    <ignoredError sqref="B18 W50" twoDigitTextYear="1"/>
    <ignoredError sqref="AA49" formula="1"/>
    <ignoredError sqref="G34" formula="1" emptyCellReference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Data Entry</vt:lpstr>
      <vt:lpstr>Results</vt:lpstr>
      <vt:lpstr>Calcs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2014-07-17T04:10:01Z</cp:lastPrinted>
  <dcterms:created xsi:type="dcterms:W3CDTF">2006-09-16T00:00:00Z</dcterms:created>
  <dcterms:modified xsi:type="dcterms:W3CDTF">2015-07-03T11:01:03Z</dcterms:modified>
</cp:coreProperties>
</file>